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3" activeTab="4"/>
  </bookViews>
  <sheets>
    <sheet name="Biểu 2a" sheetId="1" state="hidden" r:id="rId1"/>
    <sheet name="2c moi" sheetId="2" state="hidden" r:id="rId2"/>
    <sheet name="2d" sheetId="3" state="hidden" r:id="rId3"/>
    <sheet name="Phụ lục 1" sheetId="4" r:id="rId4"/>
    <sheet name="Phụ lục 2" sheetId="5" r:id="rId5"/>
  </sheets>
  <externalReferences>
    <externalReference r:id="rId8"/>
  </externalReferences>
  <definedNames>
    <definedName name="_xlnm._FilterDatabase" localSheetId="0" hidden="1">'Biểu 2a'!$A$4:$AR$180</definedName>
    <definedName name="loai_13" localSheetId="3">'Phụ lục 1'!#REF!</definedName>
    <definedName name="loai_13_name" localSheetId="3">'Phụ lục 1'!$B$3</definedName>
    <definedName name="loai_3" localSheetId="0">'Biểu 2a'!$C$1</definedName>
    <definedName name="loai_6" localSheetId="1">'2c moi'!$G$1</definedName>
    <definedName name="loai_6_name" localSheetId="1">'2c moi'!$A$3</definedName>
    <definedName name="loai_7" localSheetId="2">'2d'!$B$1</definedName>
    <definedName name="loai_7_name" localSheetId="2">'2d'!$A$3</definedName>
    <definedName name="_xlnm.Print_Area" localSheetId="1">'2c moi'!$A$1:$G$177</definedName>
    <definedName name="_xlnm.Print_Area" localSheetId="3">'Phụ lục 1'!$A$1:$AS$167</definedName>
    <definedName name="_xlnm.Print_Area" localSheetId="4">'Phụ lục 2'!$A$1:$O$212</definedName>
    <definedName name="_xlnm.Print_Titles" localSheetId="2">'2d'!$A:$B,'2d'!$6:$8</definedName>
    <definedName name="_xlnm.Print_Titles" localSheetId="0">'Biểu 2a'!$B:$G,'Biểu 2a'!$5:$7</definedName>
    <definedName name="_xlnm.Print_Titles" localSheetId="3">'Phụ lục 1'!$B:$C,'Phụ lục 1'!$6:$9</definedName>
    <definedName name="_xlnm.Print_Titles" localSheetId="4">'Phụ lục 2'!$5:$8</definedName>
  </definedNames>
  <calcPr fullCalcOnLoad="1"/>
</workbook>
</file>

<file path=xl/comments5.xml><?xml version="1.0" encoding="utf-8"?>
<comments xmlns="http://schemas.openxmlformats.org/spreadsheetml/2006/main">
  <authors>
    <author>HCTH03</author>
  </authors>
  <commentList>
    <comment ref="I170" authorId="0">
      <text>
        <r>
          <rPr>
            <b/>
            <sz val="9"/>
            <rFont val="Tahoma"/>
            <family val="2"/>
          </rPr>
          <t>HCTH03:</t>
        </r>
        <r>
          <rPr>
            <sz val="9"/>
            <rFont val="Tahoma"/>
            <family val="2"/>
          </rPr>
          <t xml:space="preserve">
Xác định tổng số thu trong năm 2017 thực tế</t>
        </r>
      </text>
    </comment>
    <comment ref="J170" authorId="0">
      <text>
        <r>
          <rPr>
            <b/>
            <sz val="9"/>
            <rFont val="Tahoma"/>
            <family val="2"/>
          </rPr>
          <t>HCTH03:</t>
        </r>
        <r>
          <rPr>
            <sz val="9"/>
            <rFont val="Tahoma"/>
            <family val="2"/>
          </rPr>
          <t xml:space="preserve">
Số thu chi tiết để tính tỷ lệ CCTL</t>
        </r>
      </text>
    </comment>
  </commentList>
</comments>
</file>

<file path=xl/sharedStrings.xml><?xml version="1.0" encoding="utf-8"?>
<sst xmlns="http://schemas.openxmlformats.org/spreadsheetml/2006/main" count="1259" uniqueCount="601">
  <si>
    <t>Biểu số 2a</t>
  </si>
  <si>
    <t>NỘI DUNG</t>
  </si>
  <si>
    <t>CHÊNH LỆCH QUỸ LƯƠNG PHỤ CẤP TĂNG THÊM 1 THÁNG</t>
  </si>
  <si>
    <t>TỔNG CỘNG</t>
  </si>
  <si>
    <t>LƯƠNG THEO NGẠCH BẬC, CHỨC VỤ</t>
  </si>
  <si>
    <t>TỔNG CÁC KHOẢN PHỤ CẤP (1)</t>
  </si>
  <si>
    <t>Trong đó</t>
  </si>
  <si>
    <t>CÁC KHOẢN ĐÓNG GÓP BHXH, BHYT, KPCĐ</t>
  </si>
  <si>
    <t>PHỤ CẤP KHU VỰC</t>
  </si>
  <si>
    <t>PHỤ CẤP THÂM NIÊN VƯỢT KHUNG</t>
  </si>
  <si>
    <t>PHỤ CẤP ƯU ĐÃI NGÀNH</t>
  </si>
  <si>
    <t>PHỤ CẤP THU HÚT</t>
  </si>
  <si>
    <t>PHỤ CẤP CÔNG TÁC LÂU NĂM</t>
  </si>
  <si>
    <t>PHỤ CẤP CÔNG VỤ</t>
  </si>
  <si>
    <t>PHỤ CẤP CÔNG TÁC ĐẢNG</t>
  </si>
  <si>
    <t>PHỤ CẤP THÂM NIÊN NGHỀ</t>
  </si>
  <si>
    <t>PHỤ CẤP KHÁC</t>
  </si>
  <si>
    <t>TỔNG CỘNG (I+II+III+IV+V+VI)</t>
  </si>
  <si>
    <t>I</t>
  </si>
  <si>
    <t>KHU VỰC HCSN, ĐẢNG, ĐOÀN THỂ</t>
  </si>
  <si>
    <t>Trong đó:</t>
  </si>
  <si>
    <t>Sự nghiệp giáo dục - đào tạo</t>
  </si>
  <si>
    <t>- Giáo dục</t>
  </si>
  <si>
    <t>Tr.đó: Giáo viên mầm non theo TTLT 09</t>
  </si>
  <si>
    <t>2</t>
  </si>
  <si>
    <t>Sự nghiệp y tế</t>
  </si>
  <si>
    <t>3</t>
  </si>
  <si>
    <t>Khoa học công nghệ</t>
  </si>
  <si>
    <t>4</t>
  </si>
  <si>
    <t>Văn hóa thông tin</t>
  </si>
  <si>
    <t>5</t>
  </si>
  <si>
    <t>Phát thanh truyền hình</t>
  </si>
  <si>
    <t>6</t>
  </si>
  <si>
    <t>Thể dục - thể thao</t>
  </si>
  <si>
    <t>7</t>
  </si>
  <si>
    <t>Đảm bảo xã hội</t>
  </si>
  <si>
    <t>8</t>
  </si>
  <si>
    <t>Sự nghiệp kinh tế</t>
  </si>
  <si>
    <t>9</t>
  </si>
  <si>
    <t>Quản lý nhà nước, đảng, đoàn thể</t>
  </si>
  <si>
    <t>- Quản lý NN</t>
  </si>
  <si>
    <t>- Đảng, đoàn thể</t>
  </si>
  <si>
    <t>- Hợp đồng không kỳ hạn theo NĐ 68</t>
  </si>
  <si>
    <t>II</t>
  </si>
  <si>
    <t>CÁN BỘ CHUYÊN TRÁCH, CÔNG CHỨC XÃ</t>
  </si>
  <si>
    <t>III</t>
  </si>
  <si>
    <t>HOẠT ĐỘNG PHÍ ĐẠI BIỂU HĐND CÁC CẤP</t>
  </si>
  <si>
    <t>- Cấp tỉnh</t>
  </si>
  <si>
    <t>- Cấp huyện</t>
  </si>
  <si>
    <t>- Cấp xã</t>
  </si>
  <si>
    <t>IV</t>
  </si>
  <si>
    <t>PHỤ CẤP TRÁCH NHIỆM CẤP ỦY</t>
  </si>
  <si>
    <t>- Ủy viên cấp tỉnh</t>
  </si>
  <si>
    <t>Nhu cầu thực hiện chế độ BHTN, BHYT và các loại phụ cấp, trợ cấp theo quy định</t>
  </si>
  <si>
    <t>- Ủy viên cấp xã</t>
  </si>
  <si>
    <t>Đơn vị: Triệu đồng</t>
  </si>
  <si>
    <t xml:space="preserve">(1) Chỉ tính các khoản phụ cấp do Trung ương quy định, không kể tiền lương làm việc vào ban đêm, làm thêm giờ, phụ cấp theo mức tuyệt đối; không tổng hợp chênh
(2) Các loại phụ cấp theo quy định (trừ trợ cấp) lĩnh hàng tháng, tổng hợp đầy đủ vào biểu 2a
(3) Giáo viên mầm non ngoài biên chế theo Quyết định 60: chỉ bao gồm đối tượng hợp đồng lao động hạch toán Khoản 491, Tiểu mục 6051 để phù hợp với số liệu KBNN báo cáo định kỳ cung cấp cho WB (Lưu ý không tổng hợp nội dung hợp đồng làm việc vào nội dung này)
</t>
  </si>
  <si>
    <t>Ngày….tháng .... năm ...</t>
  </si>
  <si>
    <t>STT</t>
  </si>
  <si>
    <t>A</t>
  </si>
  <si>
    <t>B</t>
  </si>
  <si>
    <t>Biểu số 2c</t>
  </si>
  <si>
    <t>Nội dung</t>
  </si>
  <si>
    <t>Khoa học-công nghệ</t>
  </si>
  <si>
    <t>Ngày…. tháng….năm…..</t>
  </si>
  <si>
    <t>Biểu số 2d</t>
  </si>
  <si>
    <t>Tổng hệ số phụ cấp của số đối tượng có hệ số lương từ 2,34 trở xuống</t>
  </si>
  <si>
    <t>Bổ sung chênh lệch do điều chỉnh mức lương cơ sở 1,21 tr đ/ tháng để giữ bằng thu nhập thấp tháng 4/2016</t>
  </si>
  <si>
    <t>QT thu BHTN 2015</t>
  </si>
  <si>
    <t>Chênh lệch Bảo hiểm thất nghiệp tăng thêm 1 tháng</t>
  </si>
  <si>
    <t>Tổng số đối tượng</t>
  </si>
  <si>
    <t>Thu của người lao động và người sử dụng lao động (2%) (đơn vị thuộc địa phương q lý)</t>
  </si>
  <si>
    <t>Tổng cộng</t>
  </si>
  <si>
    <t>Mức lương theo ngạch, bậc, chức vụ</t>
  </si>
  <si>
    <t>Tổng các khoản phụ cấp tính BHTN</t>
  </si>
  <si>
    <t>1% Bảo hiểm thất nghiệp</t>
  </si>
  <si>
    <t>Phụ cấp chức vụ</t>
  </si>
  <si>
    <t>Phụ cấp vượt khung</t>
  </si>
  <si>
    <t>P.cấp thâm niên nghề</t>
  </si>
  <si>
    <t>1</t>
  </si>
  <si>
    <t>10</t>
  </si>
  <si>
    <t>11</t>
  </si>
  <si>
    <t>12</t>
  </si>
  <si>
    <t>13</t>
  </si>
  <si>
    <t>14</t>
  </si>
  <si>
    <t>15</t>
  </si>
  <si>
    <t>16</t>
  </si>
  <si>
    <t>17</t>
  </si>
  <si>
    <t>18</t>
  </si>
  <si>
    <t>19</t>
  </si>
  <si>
    <t>20</t>
  </si>
  <si>
    <t>21</t>
  </si>
  <si>
    <t>TỔNG HỢP TOÀN TỈNH, TP THEO LĨNH VỰC</t>
  </si>
  <si>
    <t>SN giáo dục - đào tạo</t>
  </si>
  <si>
    <t>SN y tế</t>
  </si>
  <si>
    <t>Quản lý nhà nước, đảng, đoàn thể (nếu có)</t>
  </si>
  <si>
    <t>CHI TIẾT THEO ĐỊA BÀN</t>
  </si>
  <si>
    <t>Khối tỉnh</t>
  </si>
  <si>
    <t>Sở y tế</t>
  </si>
  <si>
    <t>Sở giáo dục - đào tạo</t>
  </si>
  <si>
    <t>Sở…</t>
  </si>
  <si>
    <t>Khối huyện</t>
  </si>
  <si>
    <t>Huyện A</t>
  </si>
  <si>
    <t>- Quản lý nhà nước</t>
  </si>
  <si>
    <t>- Sự nghiệp y tế</t>
  </si>
  <si>
    <t>- Sự nghiệp đào tạo</t>
  </si>
  <si>
    <t>Huyện B</t>
  </si>
  <si>
    <t>Huyện …</t>
  </si>
  <si>
    <t>Nhu cầu thực hiện chế độ bảo hiểm thất nghiệp, bảo hiểm y tế và các loại phụ cấp, trợ cấp theo quy định</t>
  </si>
  <si>
    <t>Ghi chú: Đề nghị báo cáo chuẩn xác quỹ lương ngạch bậc và đầy đủ các loại phụ cấp dùng để tính đóng BHTN</t>
  </si>
  <si>
    <t>Ngày.... tháng ... năm …</t>
  </si>
  <si>
    <t>CHỈ TIÊU</t>
  </si>
  <si>
    <t>ỦY BAN NHÂN DÂN TỈNH ĐỒNG NAI</t>
  </si>
  <si>
    <t>Sở GDĐT</t>
  </si>
  <si>
    <t>Sở LĐTBXH</t>
  </si>
  <si>
    <t xml:space="preserve">SN giao thông </t>
  </si>
  <si>
    <t>Sn Công Thương</t>
  </si>
  <si>
    <t>SN Nông - Lâm Ngư nghiệp</t>
  </si>
  <si>
    <t>SN Môi trường (Tai nguyen)</t>
  </si>
  <si>
    <t>Văn phòng HĐND tỉnh</t>
  </si>
  <si>
    <t>Văn phòng UBND tỉnh</t>
  </si>
  <si>
    <t>Sở Giáo dục - Đào tạo</t>
  </si>
  <si>
    <t>Sở Kế Hoạch - Đầu tư</t>
  </si>
  <si>
    <t>Sở Văn hoá thể thao và du lịch</t>
  </si>
  <si>
    <t>Thanh tra tỉnh</t>
  </si>
  <si>
    <t>Sở Công thương</t>
  </si>
  <si>
    <t>Sở Tài nguyên và môi trường</t>
  </si>
  <si>
    <t>Sở Tư pháp</t>
  </si>
  <si>
    <t>Sở Xây dựng</t>
  </si>
  <si>
    <t>Sở Y tế</t>
  </si>
  <si>
    <t>Sở Tài chính</t>
  </si>
  <si>
    <t>Sở Ngoại vụ</t>
  </si>
  <si>
    <t>Sở Thông tin và truyền thông</t>
  </si>
  <si>
    <t>Sở Nội vụ</t>
  </si>
  <si>
    <t>Sở Khoa học và Công nghệ</t>
  </si>
  <si>
    <t>Sở NNPTNT</t>
  </si>
  <si>
    <t>Ban Dân tộc</t>
  </si>
  <si>
    <t>BQL các KCN</t>
  </si>
  <si>
    <t>Uỷ ban Mặt trận tổ quốc</t>
  </si>
  <si>
    <t>Tỉnh đoàn</t>
  </si>
  <si>
    <t>Hội Liên hiệp phụ nữ</t>
  </si>
  <si>
    <t>Hội Nông dân</t>
  </si>
  <si>
    <t>Hội Cựu chiến binh</t>
  </si>
  <si>
    <t>Liên hiệp các tổ chức hữu nghị</t>
  </si>
  <si>
    <t>Hội Văn học nghệ thuật</t>
  </si>
  <si>
    <t xml:space="preserve">Hội Nhà báo </t>
  </si>
  <si>
    <t>Hội Luật gia</t>
  </si>
  <si>
    <t>Hội Chữ Thập đỏ</t>
  </si>
  <si>
    <t>Hội Sinh viên tỉnh</t>
  </si>
  <si>
    <t>Liên minh HTX tỉnh</t>
  </si>
  <si>
    <t>Hội Người cao tuổi</t>
  </si>
  <si>
    <t>Hội Người mù</t>
  </si>
  <si>
    <t>Hội Nạn nhân chất độc Dacam/Dioxin</t>
  </si>
  <si>
    <t>Hội Cựu Thanh niên xung phong</t>
  </si>
  <si>
    <t>Hội Khuyến Học tỉnh</t>
  </si>
  <si>
    <t>Ban liên lạc tù chính trị</t>
  </si>
  <si>
    <t>Sự nghiệp khác</t>
  </si>
  <si>
    <t>8b</t>
  </si>
  <si>
    <t>có</t>
  </si>
  <si>
    <t>Nhà Thiếu nhi</t>
  </si>
  <si>
    <t>VP HĐND</t>
  </si>
  <si>
    <t>Sở VHTTDL (VH+DL)</t>
  </si>
  <si>
    <t>ĐVT: triệu đồng</t>
  </si>
  <si>
    <t>Sở Xây dựng</t>
  </si>
  <si>
    <t>Sở Văn hóa, Thể thao Du lịch</t>
  </si>
  <si>
    <t>Hợp đồng không kỳ hạn theo NĐ 68</t>
  </si>
  <si>
    <t>Biên chế</t>
  </si>
  <si>
    <t>Sở Tài chính</t>
  </si>
  <si>
    <t>Sở KHĐT</t>
  </si>
  <si>
    <t>VP UBND</t>
  </si>
  <si>
    <t>Sở TTTT</t>
  </si>
  <si>
    <t>Tỉnh đoàn</t>
  </si>
  <si>
    <t>Hội Nhà báo</t>
  </si>
  <si>
    <t>CCQLTT</t>
  </si>
  <si>
    <t>VP Sở Công thương</t>
  </si>
  <si>
    <t>Sở Công thương</t>
  </si>
  <si>
    <t>- KBT TNVHĐN</t>
  </si>
  <si>
    <t>2b</t>
  </si>
  <si>
    <t>Sự nghiệp dân số</t>
  </si>
  <si>
    <t>- VP Sở Công thương</t>
  </si>
  <si>
    <t>- CCQLTT</t>
  </si>
  <si>
    <t>SN dân số</t>
  </si>
  <si>
    <t>- Trung tâm Quản lý điều hành vận tải HKCC</t>
  </si>
  <si>
    <t>- Khu quản lý ĐBĐT</t>
  </si>
  <si>
    <t>- TTKC</t>
  </si>
  <si>
    <t>- TTXTTM</t>
  </si>
  <si>
    <t>- Trung tâm Sinh hoạt văn hóa truyền thống thanh thiếu nhi</t>
  </si>
  <si>
    <t>- Trung tâm Công báo</t>
  </si>
  <si>
    <t>- Trung tâm Tin học</t>
  </si>
  <si>
    <t>- Trung tâm Đào tạo - Cung ứng Lao động kỹ thuật</t>
  </si>
  <si>
    <t>- Khu bảo tồn TNVHĐN</t>
  </si>
  <si>
    <t>- Sở VHTTDL (VH+DL)</t>
  </si>
  <si>
    <t>- Nhà Thiếu nhi</t>
  </si>
  <si>
    <t>Hội Người mù</t>
  </si>
  <si>
    <t xml:space="preserve">+ SN giao thông </t>
  </si>
  <si>
    <t>+ SN Công Thương</t>
  </si>
  <si>
    <t>+ SN Nông - Lâm Ngư nghiệp</t>
  </si>
  <si>
    <t>+ SN Môi trường (Tai nguyen)</t>
  </si>
  <si>
    <t>+ Giáo dục</t>
  </si>
  <si>
    <t>+ Đào tạo</t>
  </si>
  <si>
    <t>- Sở GDĐT</t>
  </si>
  <si>
    <t>- Trường Chính trị</t>
  </si>
  <si>
    <t>- Trường Trung cấp nghề 26-3</t>
  </si>
  <si>
    <t>-Trường TC VHNT</t>
  </si>
  <si>
    <t>- Trường TC nghề Giao thông Vận tải</t>
  </si>
  <si>
    <t>- Trường ĐH Đồng Nai</t>
  </si>
  <si>
    <t>- Trường Cao đẳng Y tế</t>
  </si>
  <si>
    <t>- Trường Cao đẳng nghề</t>
  </si>
  <si>
    <t>- Trường CĐ Nghề Công nghệ cao</t>
  </si>
  <si>
    <t>Hội Văn học nghệ thuật</t>
  </si>
  <si>
    <t>Sở Ngoại vụ</t>
  </si>
  <si>
    <t>- Chi cục Quản lý đất đai</t>
  </si>
  <si>
    <t>- Sở Tài nguyên và môi trường</t>
  </si>
  <si>
    <t>- Trung tâm Công nghệ thông tin (STNMT)</t>
  </si>
  <si>
    <t>- Chi cục Bảo vệ môi trường</t>
  </si>
  <si>
    <t>+ Quản lý NN</t>
  </si>
  <si>
    <t>- Trung tâm Mồ côi khuyết tật</t>
  </si>
  <si>
    <t>- Trung tâm Người già, Người khuyết tật và tâm thần</t>
  </si>
  <si>
    <t>- Trung tâm bảo trợ huấn nghệ cô nhi Biên Hòa</t>
  </si>
  <si>
    <t>- Ban quản lý nghĩa trang</t>
  </si>
  <si>
    <t>- Cơ sở nghiện ma túy</t>
  </si>
  <si>
    <t>- Quỹ trẻ em</t>
  </si>
  <si>
    <t>- Chi cục Phòng chống tệ nạn xã hội</t>
  </si>
  <si>
    <t>- VP Sở Công thương</t>
  </si>
  <si>
    <t>- Chi cục Quản lý thị trường</t>
  </si>
  <si>
    <t>- VP Sở Tài nguyên và môi trường</t>
  </si>
  <si>
    <t>- VP Sở LĐTBXH</t>
  </si>
  <si>
    <t>- VP Sở Giao thông và Vận tải</t>
  </si>
  <si>
    <t>- Thanh tra Sở</t>
  </si>
  <si>
    <t>Sở Giao thông vận tải</t>
  </si>
  <si>
    <t>- Trung tâm trợ giúp pháp lý nhà nước</t>
  </si>
  <si>
    <t>- Trung tâm dịch vụ bán đấu giá</t>
  </si>
  <si>
    <t>- Phòng công chứng số 1</t>
  </si>
  <si>
    <t>- Phòng công chứng số 2</t>
  </si>
  <si>
    <t>- Phòng công chứng số 3</t>
  </si>
  <si>
    <t>- Phòng công chứng số 4</t>
  </si>
  <si>
    <t>SN Công Thương</t>
  </si>
  <si>
    <t>Sở Khoa học Công nghệ</t>
  </si>
  <si>
    <t>Bình quân một người - Hệ số lương</t>
  </si>
  <si>
    <t>Bình quân một người - Hệ số Lương + Phụ cấp + đóng góp</t>
  </si>
  <si>
    <t>đã dò</t>
  </si>
  <si>
    <t>7.1</t>
  </si>
  <si>
    <t>7.2</t>
  </si>
  <si>
    <t>7.3</t>
  </si>
  <si>
    <t>7.4</t>
  </si>
  <si>
    <t>7.5</t>
  </si>
  <si>
    <t>7.6</t>
  </si>
  <si>
    <t>- Cảng vụ đường thủy nội địa</t>
  </si>
  <si>
    <t>- Trung tâm Công nghệ thông tin truyền thông</t>
  </si>
  <si>
    <t>TỔNG CẢ NĂM (5)*12</t>
  </si>
  <si>
    <t>33=19-5</t>
  </si>
  <si>
    <t>Ban bảo vệ CSSK cán bộ</t>
  </si>
  <si>
    <t>Trung tâm văn hóa</t>
  </si>
  <si>
    <t>Thư viện tỉnh</t>
  </si>
  <si>
    <t>Bảo tàng</t>
  </si>
  <si>
    <t>Trung tâm PHP-CB</t>
  </si>
  <si>
    <t>Đoàn ca múa</t>
  </si>
  <si>
    <t>Trung tâm hội nghị và tổ chức sự kiện</t>
  </si>
  <si>
    <t>Trung tâm xúc tiến du lịch</t>
  </si>
  <si>
    <t>Nhà hát nghệ thuật truyền thống</t>
  </si>
  <si>
    <t>Ban quản lý di tích danh thắng</t>
  </si>
  <si>
    <t>- VP Sở</t>
  </si>
  <si>
    <t>- Chi cục TCDN</t>
  </si>
  <si>
    <t>- Chi cục Tài chính doanh nghiệp</t>
  </si>
  <si>
    <t>+ KBT TNVHĐN</t>
  </si>
  <si>
    <t>- Sự nghiệp Nông nghiệp</t>
  </si>
  <si>
    <t>- Sự nghiệp Lâm nghiệp</t>
  </si>
  <si>
    <t xml:space="preserve">   Trung tâm nước sạch &amp; VSMT</t>
  </si>
  <si>
    <t xml:space="preserve">   Chi cục Trồng trọt &amp; BVTV</t>
  </si>
  <si>
    <t xml:space="preserve">   Chi cục Thủy sản</t>
  </si>
  <si>
    <t xml:space="preserve">   Trung tâm khuyến nông</t>
  </si>
  <si>
    <t xml:space="preserve">    Ban QLRPH Long Thành</t>
  </si>
  <si>
    <t xml:space="preserve">    Ban QLRPH 600</t>
  </si>
  <si>
    <t xml:space="preserve">    Ban QLRPH Tân Phú</t>
  </si>
  <si>
    <t xml:space="preserve">    Ban QLRPH Xuân Lộc</t>
  </si>
  <si>
    <t xml:space="preserve">    TT LN Biên Hòa</t>
  </si>
  <si>
    <t>- Văn phòng Sở NN</t>
  </si>
  <si>
    <t>- Chi cục Trồng trọt &amp; BVTV</t>
  </si>
  <si>
    <t>- Chi cục Thủy sản</t>
  </si>
  <si>
    <t>- Chi cục Phát triển nông thôn</t>
  </si>
  <si>
    <t>- Chi cục QLCL NLS &amp; TS</t>
  </si>
  <si>
    <t>- Chi cục Kiểm lâm</t>
  </si>
  <si>
    <t>- Văn phòng điều phối CT NTM</t>
  </si>
  <si>
    <t>- Chi cục Thủy lợi</t>
  </si>
  <si>
    <t>- Quỹ phòng chống thiên tai</t>
  </si>
  <si>
    <t>- Văn phòng Sở Tài chính</t>
  </si>
  <si>
    <t>- Văn phòng Sở</t>
  </si>
  <si>
    <t>- Chi cục Văn thư lưu trữ</t>
  </si>
  <si>
    <t>- Ban Thi đua khen thưởng</t>
  </si>
  <si>
    <t>- Ban Tôn giáo</t>
  </si>
  <si>
    <t>- Chi cục Tiêu chuẩn đo lường CL</t>
  </si>
  <si>
    <t>- Trung tâm Khuyến công</t>
  </si>
  <si>
    <t>- Trung tâm Xúc tiến thương mại</t>
  </si>
  <si>
    <t xml:space="preserve">   + Sự nghiệp Nông nghiệp</t>
  </si>
  <si>
    <t xml:space="preserve">    + Sự nghiệp Lâm nghiệp</t>
  </si>
  <si>
    <t>- Sở Nông nghiệp &amp; phát triển nông thôn</t>
  </si>
  <si>
    <t>- Chi cục ATVSTP</t>
  </si>
  <si>
    <t>- Chi cục DSKHHGĐ</t>
  </si>
  <si>
    <t>- Trung tâm khuyến công</t>
  </si>
  <si>
    <t>- Trung tâm xúc tiến thương mại</t>
  </si>
  <si>
    <t>- Chi cục QLTT</t>
  </si>
  <si>
    <t>- Trung tâm Thông tin và Thống kê KH&amp;CN</t>
  </si>
  <si>
    <t>- Trung tâm ứng dụng Tiến bộ KHCN</t>
  </si>
  <si>
    <t>+ Sở Nông nghiệp</t>
  </si>
  <si>
    <t>++ Sở Nông nghiệp và phát triển nông thôn</t>
  </si>
  <si>
    <t>++ KBT TNVHĐN</t>
  </si>
  <si>
    <t>SỰ NGHIỆP GIÁO DỤC ĐÀO TẠO</t>
  </si>
  <si>
    <t>SỰ NGHIỆP KINH TẾ</t>
  </si>
  <si>
    <t>- Ban ATGT</t>
  </si>
  <si>
    <t>TRƯỞNG PHÒNG TCHCSN</t>
  </si>
  <si>
    <t>Trương Thị Hương Bình</t>
  </si>
  <si>
    <t>PHÒNG TCHCSN - STC</t>
  </si>
  <si>
    <t xml:space="preserve"> + Giáo dục:</t>
  </si>
  <si>
    <r>
      <t>Thu nhập tăng thêm</t>
    </r>
    <r>
      <rPr>
        <b/>
        <i/>
        <sz val="10"/>
        <rFont val="Arial"/>
        <family val="2"/>
      </rPr>
      <t>(triệu đồng)</t>
    </r>
  </si>
  <si>
    <t>Từ hệ số tiền lương tăng thêm theo quy định của Chính phủ, Thủ tướng chính phủ</t>
  </si>
  <si>
    <t>Thu nhập tăng thêm do cơ quan đơn vị thực hiện theo cơ chế tự chú</t>
  </si>
  <si>
    <r>
      <t xml:space="preserve">Thu nhập bổ sung khác </t>
    </r>
    <r>
      <rPr>
        <b/>
        <i/>
        <sz val="10"/>
        <rFont val="Arial"/>
        <family val="2"/>
      </rPr>
      <t>(triệu đồng)</t>
    </r>
  </si>
  <si>
    <t>Các khoản đóng góp BHXH, BHYT, BHTN, KPCĐ (triệu đồng)</t>
  </si>
  <si>
    <t>Tổng quỹ tiền lương, thu nhập (triệu đồng</t>
  </si>
  <si>
    <t>Ghi chú</t>
  </si>
  <si>
    <t>cột 33</t>
  </si>
  <si>
    <t>BIÊN CHẾ ĐƯỢC CẤP CÓ THẨM QUYỀN GIAO HOẶC PHÊ DUYỆT NĂM 2017</t>
  </si>
  <si>
    <t>TỔNG SỐ ĐỐI TƯỢNG HƯỞNG LƯƠNG CÓ MẶT ĐẾN 01/07/2017</t>
  </si>
  <si>
    <t>BÁO CÁO NHU CẦU KINH PHÍ THỰC HIỆN NGHỊ ĐỊNH 47/2017/NĐ-CP NĂM 2017</t>
  </si>
  <si>
    <t>QUỸ TIỀN LƯƠNG, PHỤ CẤP VÀ CÁC KHOẢN ĐÓNG GÓP THÁNG 7/2017 THEO NGHỊ ĐỊNH SỐ 47/2016/NĐ-CP</t>
  </si>
  <si>
    <t>QUỸ TIỀN LƯƠNG PHỤ CẤP VÀ CÁC KHOẢN ĐÓNG GÓP THÁNG 7/2017 THEO NGHỊ ĐỊNH SỐ 47/2017/NĐ-CP</t>
  </si>
  <si>
    <t>NHU CẦU KINH PHÍ THỰC HIỆN NGHỊ ĐỊNH SỐ 47/2017/NĐ-CP NĂM 2017</t>
  </si>
  <si>
    <t>34=33x6</t>
  </si>
  <si>
    <t>BÁO CÁO NHU CẦU CHÊNH LỆCH SAU KHI ĐIỀU CHỈNH MỨC LƯƠNG CƠ SỞ TỪ 1,15 TRIỆU ĐỘNG/THÁNG LÊN 1,21 TRIỆU ĐỒNG/THÁNG ĐỂ BẢO LƯU MỨC LƯƠNG ĐỐI VỚI NGƯỜI THU NHẬP THẤP ĐÃ ĐIỀU CHỈNH THEO NGHỊ ĐỊNH 17/2015/NĐ-CP</t>
  </si>
  <si>
    <t>7=6*6T</t>
  </si>
  <si>
    <t>BÁO CÁO NHU CẦU KINH PHÍ THỰC HIỆN BẢO HIỂM THẤT NGHIỆP THEO NGHỊ ĐỊNH 28/2015/NĐ-CP NĂM 2017</t>
  </si>
  <si>
    <t>Đối tượng có hệ số lương ngạch bậc, lương chức vụ từ 2,34 trở xuống có mặt 01/01/2017 có chênh lệch tăng thêm (Người)</t>
  </si>
  <si>
    <t>Tổng HS tiền lương ngạch bậc của số đối tượng có hệ số lương từ 2,34 trở xuống có mặt 01/02/2017</t>
  </si>
  <si>
    <t>Nhu cầu bổ sung chênh lệch 6 tháng năm 2017</t>
  </si>
  <si>
    <t>Văn phòng Sở</t>
  </si>
  <si>
    <t>Trung tâm CNTT-TT</t>
  </si>
  <si>
    <t>22=21*6</t>
  </si>
  <si>
    <t>Biên chế được cấp có thẩm quyền, giao hoặc phê duyệt năm 2017</t>
  </si>
  <si>
    <t>Tổng số đối tượng hưởng lương có mặt đến 01/07/2017 nộp BHTN</t>
  </si>
  <si>
    <t>Tổng QL, phụ cấp và BH thất nghiệp tháng 07/2017 theo NĐ 47/2016/NĐ-CP</t>
  </si>
  <si>
    <t>Tổng QL, phụ cấp và BH thất nghiệp tháng 07/2017 theo NĐ 47/2017/NĐ-CP</t>
  </si>
  <si>
    <t>Nhu cầu thực hiện BHTN năm 2017</t>
  </si>
  <si>
    <r>
      <t xml:space="preserve">PHỤ CẤP </t>
    </r>
    <r>
      <rPr>
        <b/>
        <sz val="10"/>
        <color indexed="10"/>
        <rFont val="Times New Roman"/>
        <family val="1"/>
      </rPr>
      <t>CHỨC VỤ</t>
    </r>
  </si>
  <si>
    <t>Ban quản lý các khu công nghiệp</t>
  </si>
  <si>
    <t>Liên hiệp các Hội Khoa học kỹ thuật</t>
  </si>
  <si>
    <t>Ban Dân tộc</t>
  </si>
  <si>
    <t>- Trường PT Năng khiếu thể thao</t>
  </si>
  <si>
    <t>Hội chiến sĩ cách mạng bị địch bắt tù đày</t>
  </si>
  <si>
    <t>- Ban QLDA Lifsap</t>
  </si>
  <si>
    <t>Hội Liên hiệp phụ nữ</t>
  </si>
  <si>
    <t>- Trường TC Kỹ thuật Đồng Nai</t>
  </si>
  <si>
    <t>- Ban quản lý DA Lafsap</t>
  </si>
  <si>
    <t>Sở Nông nghiệp</t>
  </si>
  <si>
    <t xml:space="preserve">SN Nông - Lâm Ngư nghiệp </t>
  </si>
  <si>
    <t>Khu Bảo tồn</t>
  </si>
  <si>
    <t>- Trung tâm đào tạo cung ứng lao động kỹ thuật</t>
  </si>
  <si>
    <t>Nhà thiếu nhi</t>
  </si>
  <si>
    <t>ko</t>
  </si>
  <si>
    <t>Trung tâm xúc tiến thương mại</t>
  </si>
  <si>
    <t>Trung tâm khuyến công</t>
  </si>
  <si>
    <t>Khu Bảo tổn</t>
  </si>
  <si>
    <t>Sở VHTTDL</t>
  </si>
  <si>
    <t>Ban an toàn giao thông</t>
  </si>
  <si>
    <t>TỔNG SỐ ĐỐI TƯỢNG HƯỞNG LƯƠNG CÓ MẶT DỰ KIẾN TỪ 01/7/2018 (dự kiến số biên chế tăng/giảm)</t>
  </si>
  <si>
    <r>
      <t xml:space="preserve">BIÊN CHẾ ĐƯỢC CẤP CÓ THẨM QUYỀN GIAO HOẶC PHÊ DUYỆT NĂM 2018
</t>
    </r>
    <r>
      <rPr>
        <sz val="10"/>
        <rFont val="Times New Roman"/>
        <family val="1"/>
      </rPr>
      <t>(người)</t>
    </r>
  </si>
  <si>
    <t>CHI TIẾT CÁC NỘI DUNG TĂNG/GIẢM KHI THỰC HIỆN CCTL NĂM 2018 SO VỚI NĂM 2017</t>
  </si>
  <si>
    <t>(A)</t>
  </si>
  <si>
    <t>(B)</t>
  </si>
  <si>
    <t>(C)</t>
  </si>
  <si>
    <t>(D)</t>
  </si>
  <si>
    <t>- (*) : Số liệu tại cột (1) đã giảm trừ số chênh lệch khi điều chỉnh mức lương cơ sở từ 1.210.000 đồng lên 1.300.000 đồng để bảo lưu mức lương đối với người thu nhập thấp theo Nghị định số 17/2015/NĐ-CP</t>
  </si>
  <si>
    <t>(E)</t>
  </si>
  <si>
    <t>(F)</t>
  </si>
  <si>
    <t>(G)</t>
  </si>
  <si>
    <t>(H)</t>
  </si>
  <si>
    <t>- Số liệu của các cột ( D, E, F, G, H) tính dự kiến từ ngày 01/7/2018</t>
  </si>
  <si>
    <t>- Số liệu tại các cột từ cột số (2) đến số (20)  là số chênh lệch tăng hoặc giảm so với số liệu tổng đã báo cáo năm 2017 (cột 1)</t>
  </si>
  <si>
    <t>(Đvt: triệu đồng)</t>
  </si>
  <si>
    <t xml:space="preserve">NHU CẦU KINH PHÍ THỰC HIỆN CCTL NĂM 2017 (*)
</t>
  </si>
  <si>
    <t>Tổng số đối tượng
(người)</t>
  </si>
  <si>
    <t>phụ lục 01</t>
  </si>
  <si>
    <t>TÊN ĐƠN VỊ</t>
  </si>
  <si>
    <t>NĂM 2017</t>
  </si>
  <si>
    <t>NĂM 2018</t>
  </si>
  <si>
    <t xml:space="preserve">Số trích nộp nguồn cải cách tiền lương lũy kế đến năm 2017 đã nộp vào tài khoản của Sở Tài chính tại Kho bạc </t>
  </si>
  <si>
    <t>Dự kiến số thu để tạo nguồn CCTL năm 2018</t>
  </si>
  <si>
    <t>TỶ LỆ ĐỀ XUẤT THỰC HIỆN TRÍCH NGUỒN CCTL 2018</t>
  </si>
  <si>
    <t>QT thu BHTN 2017</t>
  </si>
  <si>
    <t>Biên chế được cấp có thẩm quyền, giao hoặc phê duyệt năm 2018
(người)</t>
  </si>
  <si>
    <t>Tổng số đối tượng hưởng lương có mặt dự kiến  01/07/2018 nộp BHTN
(người)</t>
  </si>
  <si>
    <t>Thu của người lao động và người sử dụng lao động (2%) (đơn vị thuộc địa phương qlý)</t>
  </si>
  <si>
    <t>Tổng QL, phụ cấp và BH thất nghiệp tăng hoặc giảm khi thực hiện CCTL năm 2018 so với năm 2017</t>
  </si>
  <si>
    <t>Cán bộ công chức viên chức</t>
  </si>
  <si>
    <t>Hợp đồng 68</t>
  </si>
  <si>
    <t>LƯƠNG THEO NGẠCH BẬC, CHỨC VỤ THÁNG 07/2018</t>
  </si>
  <si>
    <r>
      <t xml:space="preserve">PHỤ CẤP </t>
    </r>
    <r>
      <rPr>
        <b/>
        <sz val="10"/>
        <color indexed="10"/>
        <rFont val="Times New Roman"/>
        <family val="1"/>
      </rPr>
      <t>CHỨC VỤ THÁNG 07/2018</t>
    </r>
  </si>
  <si>
    <t>PHỤ CẤP THÂM NIÊN VƯỢT KHUNG THÁNG 07/2018</t>
  </si>
  <si>
    <t>PHỤ CẤP KHÁC THÁNG 07/2018</t>
  </si>
  <si>
    <t>CÁC KHOẢN ĐÓNG GÓP BHXH, BHYT, KPCĐ THÁNG 07/2018</t>
  </si>
  <si>
    <t>3=(5+7+8+9+11+13)*6</t>
  </si>
  <si>
    <t>4= (6+10+12+14)*6</t>
  </si>
  <si>
    <t>PHỤ CẤP KHU VỰC THÁNG 07/2018</t>
  </si>
  <si>
    <t>(I)</t>
  </si>
  <si>
    <t>(K)</t>
  </si>
  <si>
    <t>(L)</t>
  </si>
  <si>
    <t>22</t>
  </si>
  <si>
    <t>23</t>
  </si>
  <si>
    <t>24</t>
  </si>
  <si>
    <t>25</t>
  </si>
  <si>
    <t>26</t>
  </si>
  <si>
    <t>21=24+26</t>
  </si>
  <si>
    <t>20=22+23+25</t>
  </si>
  <si>
    <t>(M)</t>
  </si>
  <si>
    <t>(N)</t>
  </si>
  <si>
    <t>- Số liệu của các cột ( E, F, G, H, I, K, L, M, N) tính dự kiến từ ngày 01/7/2018</t>
  </si>
  <si>
    <t>- Số liệu tại các cột từ cột số (2) đến số (28)  là số chênh lệch tăng hoặc giảm so với số liệu tổng đã báo cáo năm 2017 (cột 1)</t>
  </si>
  <si>
    <t>NĂM 2016</t>
  </si>
  <si>
    <t>Số trích nộp nguồn cải cách tiền lương lũy kế từ các năm trước đến năm 2016 còn tại đơn vị</t>
  </si>
  <si>
    <t xml:space="preserve">Số trích nộp nguồn cải cách tiền lương lũy kế từ các năm trước đến năm 2016 đã nộp vào tài khoản của Sở Tài chính tại Kho bạc </t>
  </si>
  <si>
    <t>Số trích nộp nguồn cải cách tiền lương  năm 2017 còn tại đơn vị</t>
  </si>
  <si>
    <t>BÁO CÁO NHU CẦU KINH PHÍ THỰC HIỆN TĂNG LƯƠNG THEO THÔNG TƯ SỐ 132/2017/TT-BTC THÁNG 07/2018</t>
  </si>
  <si>
    <t xml:space="preserve">PHỤ LỤC ĐỀ XUẤT TỶ LỆ TRÍCH NGUỒN CẢI CÁCH TIỀN LƯƠNG CỦA CÁC ĐƠN VỊ </t>
  </si>
  <si>
    <t>Phụ lục 02</t>
  </si>
  <si>
    <t>Đvt: đồng</t>
  </si>
  <si>
    <t>16=18+20+27</t>
  </si>
  <si>
    <t>17=19+21+28</t>
  </si>
  <si>
    <t>2=3+4</t>
  </si>
  <si>
    <t>29=27*6</t>
  </si>
  <si>
    <t>30=28*6</t>
  </si>
  <si>
    <t>27=(18+20)x 1%</t>
  </si>
  <si>
    <t xml:space="preserve">28=(19+21) x 1% </t>
  </si>
  <si>
    <t>2*=3+4+29+30</t>
  </si>
  <si>
    <t>Trường phổ thông năng khiếu TDTT</t>
  </si>
  <si>
    <t>Nhu cầu thực hiện bảo hiểm thất nghiệp năm 2018</t>
  </si>
  <si>
    <t xml:space="preserve">NHU CẦU KINH PHÍ THỰC HIỆN CCTL NĂM 2018 (CHƯA GỒM BHTN)
</t>
  </si>
  <si>
    <t xml:space="preserve">NHU CẦU KINH PHÍ THỰC HIỆN CCTL NĂM 2018 (GỒM BHTN)
</t>
  </si>
  <si>
    <t>Tổng số thu thực tế năm 2017</t>
  </si>
  <si>
    <t>Số thu để tính tỷ lệ trích nộp CCTL năm 2017</t>
  </si>
  <si>
    <t>C1</t>
  </si>
  <si>
    <t>Trường Cao đẳng kỹ thuật ĐN</t>
  </si>
  <si>
    <t>Tính sai</t>
  </si>
  <si>
    <t>Chưa gửi BC</t>
  </si>
  <si>
    <t>Quỹ bảo trợ trẻ em</t>
  </si>
  <si>
    <t>Trung tâm dịch vụ việc làm</t>
  </si>
  <si>
    <t>- Trường TC Kinh tế Kỹ thuật Đồng Nai</t>
  </si>
  <si>
    <t>- Trung tâm dịch vụ việc làm</t>
  </si>
  <si>
    <t>- Tăng lương: 0,147 triệu đồng
- Giảm: Do VC nghỉ thai sản: 2,227 triệu đồng</t>
  </si>
  <si>
    <t>+SN nông nghiệp</t>
  </si>
  <si>
    <t>Chi cục Chăn nuôi và Thú y</t>
  </si>
  <si>
    <t>+ SN lâm nghiệp</t>
  </si>
  <si>
    <t>Ban QLRPH Xuân Lộc</t>
  </si>
  <si>
    <t>1% Bảo hiểm thất nghiệp tháng 7/2018</t>
  </si>
  <si>
    <t>Mức lương theo ngạch, bậc, chức vụ tháng 07/2018</t>
  </si>
  <si>
    <t>Tổng các khoản phụ cấp tính BHTN tháng 07/2018</t>
  </si>
  <si>
    <t>Phụ cấp chức vụ tháng 07/2018</t>
  </si>
  <si>
    <t>Phụ cấp vượt khung tháng 07/2018</t>
  </si>
  <si>
    <t>P.cấp thâm niên nghề tháng 07/2018</t>
  </si>
  <si>
    <t>Sở Tư pháp</t>
  </si>
  <si>
    <t>Văn phòng UBND (Trung tâm tổ chức hội nghị và sự kiện)</t>
  </si>
  <si>
    <t>4.1</t>
  </si>
  <si>
    <t>4.2</t>
  </si>
  <si>
    <t>4.3</t>
  </si>
  <si>
    <t>4.4</t>
  </si>
  <si>
    <t>Văn phòng Sở Tài nguyên và Môi trường</t>
  </si>
  <si>
    <t>Chi cục Bảo vệ môi trường</t>
  </si>
  <si>
    <t>Chi cục Quản lý đất đai</t>
  </si>
  <si>
    <t>03</t>
  </si>
  <si>
    <t>0,682</t>
  </si>
  <si>
    <t>0,396</t>
  </si>
  <si>
    <t>0,384</t>
  </si>
  <si>
    <t>0,134</t>
  </si>
  <si>
    <t>0,115</t>
  </si>
  <si>
    <t>Sự nghiệp y tế dân số</t>
  </si>
  <si>
    <t>Ngô Quyền</t>
  </si>
  <si>
    <t>Nam Hà</t>
  </si>
  <si>
    <t>Nguyễn Trãi</t>
  </si>
  <si>
    <t>Trấn Biên</t>
  </si>
  <si>
    <t>Nguyễn Hữu Cảnh</t>
  </si>
  <si>
    <t>Chu Văn An</t>
  </si>
  <si>
    <t>Tam Hiệp</t>
  </si>
  <si>
    <t>Lê Hồng Phong</t>
  </si>
  <si>
    <t>Tam Phước</t>
  </si>
  <si>
    <t>Long Thành</t>
  </si>
  <si>
    <t>Long Phước</t>
  </si>
  <si>
    <t>Bình Sơn</t>
  </si>
  <si>
    <t>Nguyễn Đình Chiểu</t>
  </si>
  <si>
    <t>Phước Thiền</t>
  </si>
  <si>
    <t>Nhơn Trạch</t>
  </si>
  <si>
    <t>Nguyễn Bỉnh Khiêm</t>
  </si>
  <si>
    <t>Vĩnh Cửu</t>
  </si>
  <si>
    <t>Trị An</t>
  </si>
  <si>
    <t>Huỳnh Văn Nghệ</t>
  </si>
  <si>
    <t>Thống Nhất A</t>
  </si>
  <si>
    <t>Bàu Hàm</t>
  </si>
  <si>
    <t>Ngô Sĩ Liên</t>
  </si>
  <si>
    <t>Thống Nhất B</t>
  </si>
  <si>
    <t>Dầu Giây</t>
  </si>
  <si>
    <t>Kiệm Tân</t>
  </si>
  <si>
    <t>Long Khánh</t>
  </si>
  <si>
    <t>Trần Phú</t>
  </si>
  <si>
    <t>Hoàng Diệu</t>
  </si>
  <si>
    <t>Sông Ray</t>
  </si>
  <si>
    <t>Cẩm Mỹ</t>
  </si>
  <si>
    <t>Võ Trường Toản</t>
  </si>
  <si>
    <t>Xuân Lộc</t>
  </si>
  <si>
    <t>Xuân Hưng</t>
  </si>
  <si>
    <t>Xuân Thọ</t>
  </si>
  <si>
    <t>Điểu Cải</t>
  </si>
  <si>
    <t>Phú Ngọc</t>
  </si>
  <si>
    <t>Tân Phú</t>
  </si>
  <si>
    <t>Định Quán</t>
  </si>
  <si>
    <t>Đoàn Kết</t>
  </si>
  <si>
    <t>Thanh Bình</t>
  </si>
  <si>
    <t>Tôn Đức Thắng</t>
  </si>
  <si>
    <t>Đắc Lua</t>
  </si>
  <si>
    <t>Lương Thế Vinh</t>
  </si>
  <si>
    <t>Tây Sơn</t>
  </si>
  <si>
    <t>Điểu Xiểng</t>
  </si>
  <si>
    <t>Suối Nho</t>
  </si>
  <si>
    <t>Các trường THPT</t>
  </si>
  <si>
    <t>BHTN</t>
  </si>
  <si>
    <t>Các đơn vị khác</t>
  </si>
  <si>
    <t>Trung tâm GDTX tỉnh</t>
  </si>
  <si>
    <t>Trung tâm KTTH-HN</t>
  </si>
  <si>
    <t>- Ban Quản lý Khu công nghệ cao Công nghệ sinh học Đồng Nai</t>
  </si>
  <si>
    <t>Tổng</t>
  </si>
  <si>
    <t>Sở Nông Nghiệp</t>
  </si>
  <si>
    <t>Khu bảo tồn</t>
  </si>
  <si>
    <t>Sở Công Thương</t>
  </si>
  <si>
    <t>Nhà thiếu  nhi</t>
  </si>
  <si>
    <t>Văn phòng Sở Y tế</t>
  </si>
  <si>
    <t>Chi cục An toàn vệ sinh TP</t>
  </si>
  <si>
    <t>Chi cục Dân số - KHHGĐ</t>
  </si>
  <si>
    <t xml:space="preserve">không thu </t>
  </si>
  <si>
    <t>CÁC BỆNH VIỆN TUYẾN TỈNH</t>
  </si>
  <si>
    <t>BVĐK Đồng Nai</t>
  </si>
  <si>
    <t>BV Nhi đồng - Đồng Nai</t>
  </si>
  <si>
    <t>BVĐK Thống Nhất</t>
  </si>
  <si>
    <t>BVĐKKV Định Quán</t>
  </si>
  <si>
    <t>BVĐKKV Long Khánh</t>
  </si>
  <si>
    <t>BVĐKKV Long Thành</t>
  </si>
  <si>
    <t>BV Phổi</t>
  </si>
  <si>
    <t>BV Da liễu</t>
  </si>
  <si>
    <t>BV Y Dược cổ truyền</t>
  </si>
  <si>
    <t>CÁC TRUNG TÂM T/TỈNH</t>
  </si>
  <si>
    <t>TTYT dự phòng tỉnh</t>
  </si>
  <si>
    <t>TT Răng Hàm Mặt</t>
  </si>
  <si>
    <t>TT chăm sóc SSSS</t>
  </si>
  <si>
    <t>TTPC HIV/AIDS</t>
  </si>
  <si>
    <t>TT truyền thông GDSK</t>
  </si>
  <si>
    <t>TT kiểm nghiệm thuốc</t>
  </si>
  <si>
    <t>TTBV SK LĐ và MT</t>
  </si>
  <si>
    <t>TT Pháp Y</t>
  </si>
  <si>
    <t>TT Giám định Y khoa</t>
  </si>
  <si>
    <t>TT Kiểm dịch Y tế Quốc tế</t>
  </si>
  <si>
    <t>CÁC TRUNG TÂM T/HUYỆN</t>
  </si>
  <si>
    <t>TTYT Biên Hòa</t>
  </si>
  <si>
    <t>a. Điều trị</t>
  </si>
  <si>
    <t>b. dự phòng</t>
  </si>
  <si>
    <t>c. Các trạm y tế xã, phường</t>
  </si>
  <si>
    <t>TTYT Long Thành</t>
  </si>
  <si>
    <t>Các trạm y tế xã</t>
  </si>
  <si>
    <t>TTYT Nhơn Trạch</t>
  </si>
  <si>
    <t>TTYT Vĩnh Cửu</t>
  </si>
  <si>
    <t>TTYT Trảng Bom</t>
  </si>
  <si>
    <t>TTYT Thống Nhất</t>
  </si>
  <si>
    <t>TTYT Long Khánh</t>
  </si>
  <si>
    <t>TTYT Xuân Lộc</t>
  </si>
  <si>
    <t>TTYT Tân Phú</t>
  </si>
  <si>
    <t>TTYT Cẩm Mỹ</t>
  </si>
  <si>
    <t>TTYT Định Quán</t>
  </si>
  <si>
    <t>- Trung tâm ứng dụng CNSH</t>
  </si>
  <si>
    <t>Sở Văn hóa TTDL</t>
  </si>
  <si>
    <t>+</t>
  </si>
  <si>
    <t>CÁC TRUNG TÂM DS-KHHGĐ</t>
  </si>
  <si>
    <t>TTDS Biên Hòa</t>
  </si>
  <si>
    <t>TTDS Long Thành</t>
  </si>
  <si>
    <t>TTDS Nhơn Trạch</t>
  </si>
  <si>
    <t>TTDS Vĩnh Cửu</t>
  </si>
  <si>
    <t>TTDS Trảng Bom</t>
  </si>
  <si>
    <t>TTDS Thống Nhất</t>
  </si>
  <si>
    <t>TTDS Long Khánh</t>
  </si>
  <si>
    <t>TTDS Xuân Lộc</t>
  </si>
  <si>
    <t>TTDS Tân Phú</t>
  </si>
  <si>
    <t>TTDS Cẩm Mỹ</t>
  </si>
  <si>
    <t>TTDS Định Quán</t>
  </si>
  <si>
    <t>C</t>
  </si>
  <si>
    <r>
      <t xml:space="preserve">Nhu cầu thực hiện CCTL năm 2018
</t>
    </r>
    <r>
      <rPr>
        <i/>
        <sz val="9"/>
        <rFont val="Times New Roman"/>
        <family val="1"/>
      </rPr>
      <t>(tăng từ 1.300.000 đồng lên 1.390.000 đồng theo Thông tư số 132/2017/TT-BTC)</t>
    </r>
  </si>
  <si>
    <t>-</t>
  </si>
  <si>
    <t>Văn phòng Sở TNMT</t>
  </si>
  <si>
    <t>Rà soát lại</t>
  </si>
  <si>
    <t>Không có nhu cầu bổ sung tăng lương</t>
  </si>
  <si>
    <t>Số trích nộp nguồn cải cách tiền lương lũy kế từ các năm trước đến năm 2016</t>
  </si>
  <si>
    <t xml:space="preserve">Số trích nộp nguồn cải cách tiền lương  năm 2017 </t>
  </si>
  <si>
    <t>Tổng số trích nộp nguồn cải cách tiền lương lũy kế đã nộp vào tài khoản của Sở Tài chính tại kho bạc đến thời điểm hiện tại</t>
  </si>
  <si>
    <t>C2=C1*tỷ lệ trích nộp CCTL</t>
  </si>
  <si>
    <t>4 =(cột 2* của phụ lục 01)</t>
  </si>
  <si>
    <r>
      <t xml:space="preserve">6=(5 x </t>
    </r>
    <r>
      <rPr>
        <i/>
        <sz val="9"/>
        <rFont val="Times New Roman"/>
        <family val="1"/>
      </rPr>
      <t>tỷ lệ trích theo quy định/ tỷ lệ trích cơ quan có thẩm quyền phê duyệt năm 2017</t>
    </r>
    <r>
      <rPr>
        <b/>
        <sz val="9"/>
        <rFont val="Times New Roman"/>
        <family val="1"/>
      </rPr>
      <t xml:space="preserve">) </t>
    </r>
  </si>
  <si>
    <t xml:space="preserve">Dự kiến số trích nộp nguồn cải cách tiền lương năm 2018 
</t>
  </si>
  <si>
    <t>(Kèm theo công văn số              /STC-TCHCSN ngày       /05/2018 của Sở Tài chính )</t>
  </si>
  <si>
    <t>(Kèm theo công văn số:             /STC-TCHCSN ngày    /05/2018 của Sở Tài chính)</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</si>
</sst>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 numFmtId="177" formatCode="0.0000"/>
    <numFmt numFmtId="178" formatCode="0.000"/>
    <numFmt numFmtId="179" formatCode="_(* #,##0.0_);_(* \(#,##0.0\);_(* &quot;-&quot;??_);_(@_)"/>
    <numFmt numFmtId="180" formatCode="0.0"/>
    <numFmt numFmtId="181" formatCode="#,##0;[Red]#,##0"/>
    <numFmt numFmtId="182" formatCode="#,##0.0"/>
    <numFmt numFmtId="183" formatCode="#,##0.000"/>
    <numFmt numFmtId="184" formatCode="_(* #,##0.000_);_(* \(#,##0.000\);_(* &quot;-&quot;??_);_(@_)"/>
    <numFmt numFmtId="185" formatCode="_-* #,##0.000\ _₫_-;\-* #,##0.000\ _₫_-;_-* &quot;-&quot;???\ _₫_-;_-@_-"/>
    <numFmt numFmtId="186" formatCode="_(* #,##0.0000_);_(* \(#,##0.0000\);_(* &quot;-&quot;??_);_(@_)"/>
    <numFmt numFmtId="187" formatCode="0.00000"/>
    <numFmt numFmtId="188" formatCode="_(* #,##0.000_);_(* \(#,##0.000\);_(* &quot;-&quot;???_);_(@_)"/>
    <numFmt numFmtId="189" formatCode="_(* #,##0.00000_);_(* \(#,##0.00000\);_(* &quot;-&quot;??_);_(@_)"/>
    <numFmt numFmtId="190" formatCode="#,##0\ _₫"/>
    <numFmt numFmtId="191" formatCode="_-* #,##0.0\ _₫_-;\-* #,##0.0\ _₫_-;_-* &quot;-&quot;?\ _₫_-;_-@_-"/>
    <numFmt numFmtId="192" formatCode="0.000000"/>
    <numFmt numFmtId="193" formatCode="0.00000000"/>
    <numFmt numFmtId="194" formatCode="0.0000000"/>
    <numFmt numFmtId="195" formatCode="#,##0.0000"/>
    <numFmt numFmtId="196" formatCode="#,##0.00000"/>
    <numFmt numFmtId="197" formatCode="#,##0.000000"/>
    <numFmt numFmtId="198" formatCode="_(* #,##0.0_);_(* \(#,##0.0\);_(* &quot;-&quot;?_);_(@_)"/>
    <numFmt numFmtId="199" formatCode="#,##0.0;[Red]#,##0.0"/>
    <numFmt numFmtId="200" formatCode="[$-409]dddd\,\ mmmm\ d\,\ yyyy"/>
    <numFmt numFmtId="201" formatCode="[$-409]h:mm:ss\ AM/PM"/>
  </numFmts>
  <fonts count="102">
    <font>
      <sz val="10"/>
      <name val="Arial"/>
      <family val="0"/>
    </font>
    <font>
      <b/>
      <sz val="10"/>
      <name val="Arial"/>
      <family val="2"/>
    </font>
    <font>
      <sz val="8"/>
      <name val="Arial"/>
      <family val="2"/>
    </font>
    <font>
      <sz val="10"/>
      <name val="Times New Roman"/>
      <family val="1"/>
    </font>
    <font>
      <b/>
      <sz val="12"/>
      <name val="Times New Roman"/>
      <family val="1"/>
    </font>
    <font>
      <b/>
      <sz val="10"/>
      <name val="Times New Roman"/>
      <family val="1"/>
    </font>
    <font>
      <i/>
      <sz val="10"/>
      <name val="Times New Roman"/>
      <family val="1"/>
    </font>
    <font>
      <b/>
      <sz val="11"/>
      <name val="Times New Roman"/>
      <family val="1"/>
    </font>
    <font>
      <sz val="11"/>
      <name val="Times New Roman"/>
      <family val="1"/>
    </font>
    <font>
      <b/>
      <i/>
      <sz val="10"/>
      <name val="Times New Roman"/>
      <family val="1"/>
    </font>
    <font>
      <sz val="10"/>
      <color indexed="8"/>
      <name val="Times New Roman"/>
      <family val="1"/>
    </font>
    <font>
      <sz val="11"/>
      <color indexed="8"/>
      <name val="Times New Roman"/>
      <family val="1"/>
    </font>
    <font>
      <sz val="12"/>
      <name val="VNtimes new roman"/>
      <family val="2"/>
    </font>
    <font>
      <b/>
      <sz val="10"/>
      <color indexed="8"/>
      <name val="Times New Roman"/>
      <family val="1"/>
    </font>
    <font>
      <sz val="14"/>
      <name val="Times New Roman"/>
      <family val="1"/>
    </font>
    <font>
      <i/>
      <sz val="14"/>
      <name val="Times New Roman"/>
      <family val="1"/>
    </font>
    <font>
      <b/>
      <sz val="14"/>
      <name val="Times New Roman"/>
      <family val="1"/>
    </font>
    <font>
      <sz val="14"/>
      <name val="Arial"/>
      <family val="2"/>
    </font>
    <font>
      <b/>
      <i/>
      <sz val="10"/>
      <name val="Arial"/>
      <family val="2"/>
    </font>
    <font>
      <b/>
      <sz val="10"/>
      <color indexed="10"/>
      <name val="Times New Roman"/>
      <family val="1"/>
    </font>
    <font>
      <i/>
      <sz val="10"/>
      <name val="Arial"/>
      <family val="2"/>
    </font>
    <font>
      <sz val="9"/>
      <name val="Times New Roman"/>
      <family val="1"/>
    </font>
    <font>
      <b/>
      <sz val="9"/>
      <name val="Tahoma"/>
      <family val="2"/>
    </font>
    <font>
      <sz val="9"/>
      <name val="Tahoma"/>
      <family val="2"/>
    </font>
    <font>
      <b/>
      <sz val="11"/>
      <name val="Arial"/>
      <family val="2"/>
    </font>
    <font>
      <b/>
      <sz val="9"/>
      <name val="Times New Roman"/>
      <family val="1"/>
    </font>
    <font>
      <sz val="11"/>
      <name val="Arial"/>
      <family val="2"/>
    </font>
    <font>
      <sz val="9"/>
      <name val="Arial"/>
      <family val="2"/>
    </font>
    <font>
      <i/>
      <sz val="9"/>
      <name val="Times New Roman"/>
      <family val="1"/>
    </font>
    <font>
      <b/>
      <i/>
      <sz val="9"/>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5"/>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u val="single"/>
      <sz val="10"/>
      <color indexed="30"/>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0"/>
      <color indexed="10"/>
      <name val="Times New Roman"/>
      <family val="1"/>
    </font>
    <font>
      <sz val="11"/>
      <color indexed="10"/>
      <name val="Times New Roman"/>
      <family val="1"/>
    </font>
    <font>
      <sz val="10"/>
      <color indexed="10"/>
      <name val="Arial"/>
      <family val="2"/>
    </font>
    <font>
      <sz val="14"/>
      <color indexed="10"/>
      <name val="Arial"/>
      <family val="2"/>
    </font>
    <font>
      <i/>
      <sz val="10"/>
      <color indexed="10"/>
      <name val="Times New Roman"/>
      <family val="1"/>
    </font>
    <font>
      <sz val="10"/>
      <color indexed="8"/>
      <name val="Arial"/>
      <family val="2"/>
    </font>
    <font>
      <sz val="10"/>
      <color indexed="9"/>
      <name val="Times New Roman"/>
      <family val="1"/>
    </font>
    <font>
      <b/>
      <sz val="10"/>
      <color indexed="9"/>
      <name val="Times New Roman"/>
      <family val="1"/>
    </font>
    <font>
      <sz val="9"/>
      <color indexed="8"/>
      <name val="Times New Roman"/>
      <family val="1"/>
    </font>
    <font>
      <b/>
      <u val="single"/>
      <sz val="9"/>
      <color indexed="8"/>
      <name val="Times New Roman"/>
      <family val="1"/>
    </font>
    <font>
      <sz val="9"/>
      <color indexed="10"/>
      <name val="Arial"/>
      <family val="2"/>
    </font>
    <font>
      <b/>
      <sz val="9"/>
      <color indexed="10"/>
      <name val="Times New Roman"/>
      <family val="1"/>
    </font>
    <font>
      <sz val="9"/>
      <color indexed="10"/>
      <name val="Times New Roman"/>
      <family val="1"/>
    </font>
    <font>
      <sz val="12"/>
      <color indexed="8"/>
      <name val="Times New Roman"/>
      <family val="1"/>
    </font>
    <font>
      <sz val="8"/>
      <name val="Segoe U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Times New Roman"/>
      <family val="2"/>
    </font>
    <font>
      <b/>
      <sz val="11"/>
      <color theme="1"/>
      <name val="Arial"/>
      <family val="2"/>
    </font>
    <font>
      <sz val="11"/>
      <color rgb="FFFF0000"/>
      <name val="Arial"/>
      <family val="2"/>
    </font>
    <font>
      <b/>
      <sz val="10"/>
      <color rgb="FFFF0000"/>
      <name val="Times New Roman"/>
      <family val="1"/>
    </font>
    <font>
      <sz val="10"/>
      <color rgb="FFFF0000"/>
      <name val="Times New Roman"/>
      <family val="1"/>
    </font>
    <font>
      <sz val="11"/>
      <color rgb="FFFF0000"/>
      <name val="Times New Roman"/>
      <family val="1"/>
    </font>
    <font>
      <sz val="10"/>
      <color rgb="FFFF0000"/>
      <name val="Arial"/>
      <family val="2"/>
    </font>
    <font>
      <sz val="14"/>
      <color rgb="FFFF0000"/>
      <name val="Arial"/>
      <family val="2"/>
    </font>
    <font>
      <i/>
      <sz val="10"/>
      <color rgb="FFFF0000"/>
      <name val="Times New Roman"/>
      <family val="1"/>
    </font>
    <font>
      <sz val="10"/>
      <color theme="1"/>
      <name val="Times New Roman"/>
      <family val="1"/>
    </font>
    <font>
      <b/>
      <sz val="10"/>
      <color theme="1"/>
      <name val="Times New Roman"/>
      <family val="1"/>
    </font>
    <font>
      <sz val="10"/>
      <color theme="1"/>
      <name val="Arial"/>
      <family val="2"/>
    </font>
    <font>
      <sz val="10"/>
      <color theme="0"/>
      <name val="Times New Roman"/>
      <family val="1"/>
    </font>
    <font>
      <b/>
      <sz val="10"/>
      <color theme="0"/>
      <name val="Times New Roman"/>
      <family val="1"/>
    </font>
    <font>
      <sz val="11"/>
      <color theme="1"/>
      <name val="Times New Roman"/>
      <family val="1"/>
    </font>
    <font>
      <sz val="9"/>
      <color theme="1"/>
      <name val="Times New Roman"/>
      <family val="1"/>
    </font>
    <font>
      <b/>
      <u val="single"/>
      <sz val="9"/>
      <color theme="1"/>
      <name val="Times New Roman"/>
      <family val="1"/>
    </font>
    <font>
      <sz val="9"/>
      <color rgb="FFFF0000"/>
      <name val="Arial"/>
      <family val="2"/>
    </font>
    <font>
      <b/>
      <sz val="9"/>
      <color rgb="FFFF0000"/>
      <name val="Times New Roman"/>
      <family val="1"/>
    </font>
    <font>
      <sz val="9"/>
      <color rgb="FFFF0000"/>
      <name val="Times New Roman"/>
      <family val="1"/>
    </font>
    <font>
      <sz val="12"/>
      <color theme="1"/>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style="dotted"/>
    </border>
    <border>
      <left style="thin"/>
      <right style="thin"/>
      <top style="dotted"/>
      <bottom style="dotted"/>
    </border>
    <border>
      <left style="thin"/>
      <right style="thin"/>
      <top style="thin"/>
      <bottom>
        <color indexed="63"/>
      </bottom>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style="hair"/>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2"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47">
    <xf numFmtId="0" fontId="0" fillId="0" borderId="0" xfId="0" applyAlignment="1">
      <alignment/>
    </xf>
    <xf numFmtId="0" fontId="3" fillId="0" borderId="0" xfId="0" applyFont="1" applyAlignment="1">
      <alignment/>
    </xf>
    <xf numFmtId="0" fontId="3" fillId="0" borderId="10" xfId="0" applyFont="1" applyBorder="1" applyAlignment="1">
      <alignment horizontal="center" wrapText="1"/>
    </xf>
    <xf numFmtId="0" fontId="3" fillId="0" borderId="10" xfId="0" applyFont="1" applyBorder="1" applyAlignment="1">
      <alignment horizontal="center" vertical="top" wrapText="1"/>
    </xf>
    <xf numFmtId="0" fontId="5" fillId="0" borderId="10" xfId="0" applyFont="1" applyBorder="1" applyAlignment="1">
      <alignment horizontal="center" vertical="top" wrapText="1"/>
    </xf>
    <xf numFmtId="0" fontId="3" fillId="0" borderId="10" xfId="0" applyFont="1" applyBorder="1" applyAlignment="1">
      <alignment vertical="top" wrapText="1"/>
    </xf>
    <xf numFmtId="0" fontId="3" fillId="0" borderId="0" xfId="0" applyFont="1" applyAlignment="1">
      <alignment vertical="top" wrapText="1"/>
    </xf>
    <xf numFmtId="0" fontId="6" fillId="0" borderId="0" xfId="0" applyFont="1" applyAlignment="1">
      <alignment horizontal="center" vertical="top" wrapText="1"/>
    </xf>
    <xf numFmtId="0" fontId="5" fillId="0" borderId="0" xfId="0" applyFont="1" applyAlignment="1">
      <alignment horizontal="center" vertical="top" wrapText="1"/>
    </xf>
    <xf numFmtId="0" fontId="3" fillId="0" borderId="0" xfId="0" applyFont="1" applyAlignment="1">
      <alignment horizontal="center" vertical="top" wrapText="1"/>
    </xf>
    <xf numFmtId="0" fontId="5" fillId="0" borderId="0" xfId="0" applyFont="1" applyAlignment="1">
      <alignment/>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0" xfId="0" applyFont="1" applyAlignment="1">
      <alignment vertical="top"/>
    </xf>
    <xf numFmtId="0" fontId="6" fillId="0" borderId="0" xfId="0" applyFont="1" applyAlignment="1">
      <alignment horizontal="right"/>
    </xf>
    <xf numFmtId="0" fontId="6" fillId="0" borderId="0" xfId="0" applyFont="1" applyAlignment="1">
      <alignment/>
    </xf>
    <xf numFmtId="0" fontId="1" fillId="0" borderId="0" xfId="0" applyFont="1" applyAlignment="1">
      <alignment/>
    </xf>
    <xf numFmtId="0" fontId="3" fillId="33" borderId="10" xfId="0" applyFont="1" applyFill="1" applyBorder="1" applyAlignment="1">
      <alignment vertical="top" wrapText="1"/>
    </xf>
    <xf numFmtId="0" fontId="3" fillId="0" borderId="10" xfId="0" applyFont="1" applyFill="1" applyBorder="1" applyAlignment="1">
      <alignment vertical="top" wrapText="1"/>
    </xf>
    <xf numFmtId="0" fontId="3" fillId="33" borderId="0" xfId="0" applyFont="1" applyFill="1" applyAlignment="1">
      <alignment/>
    </xf>
    <xf numFmtId="0" fontId="0" fillId="33" borderId="0" xfId="0" applyFill="1" applyAlignment="1">
      <alignment/>
    </xf>
    <xf numFmtId="0" fontId="3" fillId="0" borderId="10" xfId="0" applyFont="1" applyFill="1" applyBorder="1" applyAlignment="1">
      <alignment horizontal="center" vertical="top" wrapText="1"/>
    </xf>
    <xf numFmtId="0" fontId="3" fillId="0" borderId="0" xfId="0" applyFont="1" applyFill="1" applyAlignment="1">
      <alignment/>
    </xf>
    <xf numFmtId="0" fontId="3" fillId="33" borderId="10" xfId="0" applyFont="1" applyFill="1" applyBorder="1" applyAlignment="1">
      <alignment horizontal="center" vertical="top" wrapText="1"/>
    </xf>
    <xf numFmtId="0" fontId="5" fillId="0" borderId="10" xfId="0" applyFont="1" applyFill="1" applyBorder="1" applyAlignment="1">
      <alignment vertical="top" wrapText="1"/>
    </xf>
    <xf numFmtId="0" fontId="0" fillId="0" borderId="0" xfId="0" applyFill="1" applyAlignment="1">
      <alignment/>
    </xf>
    <xf numFmtId="0" fontId="3" fillId="0" borderId="10" xfId="0" applyFont="1" applyFill="1" applyBorder="1" applyAlignment="1" quotePrefix="1">
      <alignment vertical="top" wrapText="1"/>
    </xf>
    <xf numFmtId="184" fontId="5" fillId="0" borderId="10" xfId="42" applyNumberFormat="1" applyFont="1" applyFill="1" applyBorder="1" applyAlignment="1">
      <alignment vertical="top" wrapText="1"/>
    </xf>
    <xf numFmtId="176" fontId="3" fillId="0" borderId="10" xfId="42" applyNumberFormat="1" applyFont="1" applyFill="1" applyBorder="1" applyAlignment="1">
      <alignment vertical="top" wrapText="1"/>
    </xf>
    <xf numFmtId="0" fontId="8" fillId="0" borderId="0" xfId="0" applyFont="1" applyFill="1" applyAlignment="1">
      <alignment/>
    </xf>
    <xf numFmtId="0" fontId="1" fillId="0" borderId="0" xfId="0" applyFont="1" applyFill="1" applyAlignment="1">
      <alignment/>
    </xf>
    <xf numFmtId="0" fontId="1" fillId="0" borderId="0" xfId="0" applyFont="1" applyFill="1" applyAlignment="1">
      <alignment/>
    </xf>
    <xf numFmtId="0" fontId="0" fillId="0" borderId="0" xfId="0" applyFont="1" applyFill="1" applyAlignment="1">
      <alignment/>
    </xf>
    <xf numFmtId="2" fontId="5" fillId="0" borderId="10" xfId="0" applyNumberFormat="1" applyFont="1" applyFill="1" applyBorder="1" applyAlignment="1" quotePrefix="1">
      <alignment vertical="top" wrapText="1"/>
    </xf>
    <xf numFmtId="0" fontId="0" fillId="0" borderId="0" xfId="0" applyFont="1" applyFill="1" applyAlignment="1">
      <alignment/>
    </xf>
    <xf numFmtId="0" fontId="0" fillId="0" borderId="0" xfId="0" applyFont="1" applyFill="1" applyAlignment="1">
      <alignment/>
    </xf>
    <xf numFmtId="0" fontId="5" fillId="0" borderId="11" xfId="0" applyFont="1" applyFill="1" applyBorder="1" applyAlignment="1">
      <alignment wrapText="1"/>
    </xf>
    <xf numFmtId="0" fontId="5" fillId="0" borderId="11" xfId="42" applyNumberFormat="1" applyFont="1" applyFill="1" applyBorder="1" applyAlignment="1">
      <alignment/>
    </xf>
    <xf numFmtId="176" fontId="5" fillId="0" borderId="11" xfId="42" applyNumberFormat="1" applyFont="1" applyFill="1" applyBorder="1" applyAlignment="1">
      <alignment wrapText="1"/>
    </xf>
    <xf numFmtId="176" fontId="5" fillId="0" borderId="11" xfId="42" applyNumberFormat="1" applyFont="1" applyFill="1" applyBorder="1" applyAlignment="1">
      <alignment/>
    </xf>
    <xf numFmtId="0" fontId="5" fillId="0" borderId="10" xfId="0" applyFont="1" applyFill="1" applyBorder="1" applyAlignment="1">
      <alignment horizontal="center" wrapText="1"/>
    </xf>
    <xf numFmtId="179" fontId="3" fillId="0" borderId="10" xfId="42" applyNumberFormat="1" applyFont="1" applyFill="1" applyBorder="1" applyAlignment="1">
      <alignment vertical="top" wrapText="1"/>
    </xf>
    <xf numFmtId="0" fontId="5" fillId="0" borderId="10" xfId="0" applyFont="1" applyFill="1" applyBorder="1" applyAlignment="1">
      <alignment horizontal="center" vertical="top" wrapText="1"/>
    </xf>
    <xf numFmtId="176" fontId="5" fillId="0" borderId="10" xfId="42" applyNumberFormat="1" applyFont="1" applyFill="1" applyBorder="1" applyAlignment="1">
      <alignment vertical="top" wrapText="1"/>
    </xf>
    <xf numFmtId="1" fontId="5" fillId="0" borderId="10" xfId="0" applyNumberFormat="1" applyFont="1" applyBorder="1" applyAlignment="1">
      <alignment vertical="top" wrapText="1"/>
    </xf>
    <xf numFmtId="0" fontId="7" fillId="0" borderId="0" xfId="0" applyFont="1" applyFill="1" applyAlignment="1">
      <alignment horizontal="center" vertical="top" wrapText="1"/>
    </xf>
    <xf numFmtId="176" fontId="8" fillId="0" borderId="0" xfId="0" applyNumberFormat="1" applyFont="1" applyFill="1" applyAlignment="1">
      <alignment/>
    </xf>
    <xf numFmtId="176" fontId="7" fillId="0" borderId="0" xfId="0" applyNumberFormat="1" applyFont="1" applyFill="1" applyAlignment="1">
      <alignment/>
    </xf>
    <xf numFmtId="184" fontId="7" fillId="0" borderId="0" xfId="42" applyNumberFormat="1" applyFont="1" applyFill="1" applyAlignment="1">
      <alignment/>
    </xf>
    <xf numFmtId="184" fontId="1" fillId="0" borderId="0" xfId="42" applyNumberFormat="1" applyFont="1" applyFill="1" applyAlignment="1">
      <alignment/>
    </xf>
    <xf numFmtId="185" fontId="0" fillId="0" borderId="0" xfId="0" applyNumberFormat="1" applyFill="1" applyAlignment="1">
      <alignment/>
    </xf>
    <xf numFmtId="0" fontId="3" fillId="0" borderId="0" xfId="0" applyFont="1" applyFill="1" applyBorder="1" applyAlignment="1">
      <alignment horizontal="center" wrapText="1"/>
    </xf>
    <xf numFmtId="43" fontId="3" fillId="0" borderId="0" xfId="0" applyNumberFormat="1" applyFont="1" applyFill="1" applyBorder="1" applyAlignment="1">
      <alignment horizontal="center" wrapText="1"/>
    </xf>
    <xf numFmtId="176" fontId="3" fillId="0" borderId="0" xfId="42" applyNumberFormat="1" applyFont="1" applyFill="1" applyBorder="1" applyAlignment="1">
      <alignment horizontal="center" wrapText="1"/>
    </xf>
    <xf numFmtId="176" fontId="3" fillId="0" borderId="10" xfId="42" applyNumberFormat="1" applyFont="1" applyFill="1" applyBorder="1" applyAlignment="1" quotePrefix="1">
      <alignment/>
    </xf>
    <xf numFmtId="179" fontId="5" fillId="0" borderId="10" xfId="0" applyNumberFormat="1" applyFont="1" applyFill="1" applyBorder="1" applyAlignment="1">
      <alignment vertical="top" wrapText="1"/>
    </xf>
    <xf numFmtId="179" fontId="5" fillId="0" borderId="10" xfId="42" applyNumberFormat="1" applyFont="1" applyFill="1" applyBorder="1" applyAlignment="1">
      <alignment vertical="top" wrapText="1"/>
    </xf>
    <xf numFmtId="0" fontId="5" fillId="0" borderId="0" xfId="0" applyFont="1" applyFill="1" applyAlignment="1">
      <alignment/>
    </xf>
    <xf numFmtId="184" fontId="5" fillId="0" borderId="0" xfId="42" applyNumberFormat="1" applyFont="1" applyFill="1" applyAlignment="1">
      <alignment/>
    </xf>
    <xf numFmtId="0" fontId="3" fillId="0" borderId="0" xfId="0" applyFont="1" applyFill="1" applyAlignment="1">
      <alignment vertical="top" wrapText="1"/>
    </xf>
    <xf numFmtId="179" fontId="3" fillId="0" borderId="10" xfId="0" applyNumberFormat="1" applyFont="1" applyFill="1" applyBorder="1" applyAlignment="1">
      <alignment vertical="top" wrapText="1"/>
    </xf>
    <xf numFmtId="0" fontId="17" fillId="0" borderId="0" xfId="0" applyFont="1" applyFill="1" applyAlignment="1">
      <alignment/>
    </xf>
    <xf numFmtId="0" fontId="3" fillId="34" borderId="0" xfId="0" applyFont="1" applyFill="1" applyAlignment="1">
      <alignment/>
    </xf>
    <xf numFmtId="0" fontId="0" fillId="0" borderId="10" xfId="0" applyFill="1" applyBorder="1" applyAlignment="1">
      <alignment/>
    </xf>
    <xf numFmtId="0" fontId="0" fillId="0" borderId="10" xfId="0" applyFont="1" applyFill="1" applyBorder="1" applyAlignment="1">
      <alignment/>
    </xf>
    <xf numFmtId="43" fontId="1" fillId="34" borderId="10" xfId="0" applyNumberFormat="1" applyFont="1" applyFill="1" applyBorder="1" applyAlignment="1">
      <alignment/>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5" fillId="34" borderId="0" xfId="0" applyFont="1" applyFill="1" applyAlignment="1">
      <alignment/>
    </xf>
    <xf numFmtId="0" fontId="0" fillId="34" borderId="0" xfId="0" applyFont="1" applyFill="1" applyAlignment="1">
      <alignment/>
    </xf>
    <xf numFmtId="0" fontId="5" fillId="34" borderId="10" xfId="0" applyFont="1" applyFill="1" applyBorder="1" applyAlignment="1">
      <alignment horizontal="center" vertical="top" wrapText="1"/>
    </xf>
    <xf numFmtId="0" fontId="5" fillId="34" borderId="10" xfId="0" applyFont="1" applyFill="1" applyBorder="1" applyAlignment="1">
      <alignment vertical="top" wrapText="1"/>
    </xf>
    <xf numFmtId="176" fontId="5" fillId="34" borderId="10" xfId="42" applyNumberFormat="1" applyFont="1" applyFill="1" applyBorder="1" applyAlignment="1">
      <alignment vertical="top" wrapText="1"/>
    </xf>
    <xf numFmtId="0" fontId="1" fillId="34" borderId="10" xfId="0" applyFont="1" applyFill="1" applyBorder="1" applyAlignment="1">
      <alignment/>
    </xf>
    <xf numFmtId="0" fontId="1" fillId="34" borderId="0" xfId="0" applyFont="1" applyFill="1" applyAlignment="1">
      <alignment/>
    </xf>
    <xf numFmtId="0" fontId="3" fillId="34" borderId="10" xfId="0" applyFont="1" applyFill="1" applyBorder="1" applyAlignment="1">
      <alignment horizontal="center" vertical="top" wrapText="1"/>
    </xf>
    <xf numFmtId="0" fontId="6" fillId="34" borderId="10" xfId="0" applyFont="1" applyFill="1" applyBorder="1" applyAlignment="1">
      <alignment vertical="top" wrapText="1"/>
    </xf>
    <xf numFmtId="0" fontId="3" fillId="34" borderId="10" xfId="0" applyFont="1" applyFill="1" applyBorder="1" applyAlignment="1">
      <alignment vertical="top" wrapText="1"/>
    </xf>
    <xf numFmtId="179" fontId="5" fillId="34" borderId="10" xfId="0" applyNumberFormat="1" applyFont="1" applyFill="1" applyBorder="1" applyAlignment="1">
      <alignment vertical="top" wrapText="1"/>
    </xf>
    <xf numFmtId="179" fontId="3" fillId="34" borderId="10" xfId="0" applyNumberFormat="1" applyFont="1" applyFill="1" applyBorder="1" applyAlignment="1">
      <alignment vertical="top" wrapText="1"/>
    </xf>
    <xf numFmtId="179" fontId="5" fillId="34" borderId="10" xfId="42" applyNumberFormat="1" applyFont="1" applyFill="1" applyBorder="1" applyAlignment="1">
      <alignment vertical="top" wrapText="1"/>
    </xf>
    <xf numFmtId="0" fontId="0" fillId="34" borderId="10" xfId="0" applyFill="1" applyBorder="1" applyAlignment="1">
      <alignment/>
    </xf>
    <xf numFmtId="0" fontId="0" fillId="34" borderId="0" xfId="0" applyFill="1" applyAlignment="1">
      <alignment/>
    </xf>
    <xf numFmtId="2" fontId="5" fillId="34" borderId="10" xfId="0" applyNumberFormat="1" applyFont="1" applyFill="1" applyBorder="1" applyAlignment="1" quotePrefix="1">
      <alignment vertical="top" wrapText="1"/>
    </xf>
    <xf numFmtId="176" fontId="3" fillId="34" borderId="10" xfId="42" applyNumberFormat="1" applyFont="1" applyFill="1" applyBorder="1" applyAlignment="1">
      <alignment vertical="top" wrapText="1"/>
    </xf>
    <xf numFmtId="176" fontId="3" fillId="34" borderId="10" xfId="42" applyNumberFormat="1" applyFont="1" applyFill="1" applyBorder="1" applyAlignment="1" quotePrefix="1">
      <alignment vertical="top" wrapText="1"/>
    </xf>
    <xf numFmtId="0" fontId="0" fillId="34" borderId="0" xfId="0" applyFont="1" applyFill="1" applyAlignment="1">
      <alignment/>
    </xf>
    <xf numFmtId="179" fontId="3" fillId="34" borderId="10" xfId="42" applyNumberFormat="1" applyFont="1" applyFill="1" applyBorder="1" applyAlignment="1">
      <alignment vertical="top" wrapText="1"/>
    </xf>
    <xf numFmtId="0" fontId="6" fillId="34" borderId="10" xfId="0" applyFont="1" applyFill="1" applyBorder="1" applyAlignment="1" quotePrefix="1">
      <alignment vertical="top" wrapText="1"/>
    </xf>
    <xf numFmtId="176" fontId="10" fillId="34" borderId="10" xfId="42" applyNumberFormat="1" applyFont="1" applyFill="1" applyBorder="1" applyAlignment="1">
      <alignment vertical="center" wrapText="1"/>
    </xf>
    <xf numFmtId="43" fontId="0" fillId="34" borderId="10" xfId="42" applyNumberFormat="1" applyFont="1" applyFill="1" applyBorder="1" applyAlignment="1">
      <alignment horizontal="center" vertical="center" wrapText="1"/>
    </xf>
    <xf numFmtId="176" fontId="13" fillId="34" borderId="10" xfId="42" applyNumberFormat="1" applyFont="1" applyFill="1" applyBorder="1" applyAlignment="1">
      <alignment vertical="center" wrapText="1"/>
    </xf>
    <xf numFmtId="176" fontId="5" fillId="34" borderId="10" xfId="42" applyNumberFormat="1" applyFont="1" applyFill="1" applyBorder="1" applyAlignment="1">
      <alignment vertical="center" wrapText="1"/>
    </xf>
    <xf numFmtId="0" fontId="6" fillId="34" borderId="12" xfId="0" applyFont="1" applyFill="1" applyBorder="1" applyAlignment="1">
      <alignment vertical="top" wrapText="1"/>
    </xf>
    <xf numFmtId="0" fontId="6" fillId="34" borderId="13" xfId="0" applyFont="1" applyFill="1" applyBorder="1" applyAlignment="1">
      <alignment vertical="top" wrapText="1"/>
    </xf>
    <xf numFmtId="0" fontId="3" fillId="34" borderId="13" xfId="0" applyFont="1" applyFill="1" applyBorder="1" applyAlignment="1">
      <alignment vertical="top" wrapText="1"/>
    </xf>
    <xf numFmtId="179" fontId="3" fillId="34" borderId="14" xfId="0" applyNumberFormat="1" applyFont="1" applyFill="1" applyBorder="1" applyAlignment="1">
      <alignment vertical="top" wrapText="1"/>
    </xf>
    <xf numFmtId="184" fontId="5" fillId="34" borderId="10" xfId="42" applyNumberFormat="1" applyFont="1" applyFill="1" applyBorder="1" applyAlignment="1">
      <alignment vertical="top" wrapText="1"/>
    </xf>
    <xf numFmtId="0" fontId="0" fillId="35" borderId="0" xfId="0" applyFont="1" applyFill="1" applyAlignment="1">
      <alignment/>
    </xf>
    <xf numFmtId="0" fontId="5" fillId="35" borderId="10" xfId="0" applyFont="1" applyFill="1" applyBorder="1" applyAlignment="1">
      <alignment horizontal="center" vertical="top" wrapText="1"/>
    </xf>
    <xf numFmtId="176" fontId="13" fillId="35" borderId="10" xfId="42" applyNumberFormat="1" applyFont="1" applyFill="1" applyBorder="1" applyAlignment="1">
      <alignment vertical="center" wrapText="1"/>
    </xf>
    <xf numFmtId="2" fontId="5" fillId="35" borderId="10" xfId="0" applyNumberFormat="1" applyFont="1" applyFill="1" applyBorder="1" applyAlignment="1" quotePrefix="1">
      <alignment vertical="top" wrapText="1"/>
    </xf>
    <xf numFmtId="0" fontId="5" fillId="35" borderId="10" xfId="0" applyFont="1" applyFill="1" applyBorder="1" applyAlignment="1">
      <alignment vertical="top" wrapText="1"/>
    </xf>
    <xf numFmtId="179" fontId="3" fillId="35" borderId="10" xfId="42" applyNumberFormat="1" applyFont="1" applyFill="1" applyBorder="1" applyAlignment="1">
      <alignment vertical="top" wrapText="1"/>
    </xf>
    <xf numFmtId="179" fontId="5" fillId="35" borderId="10" xfId="0" applyNumberFormat="1" applyFont="1" applyFill="1" applyBorder="1" applyAlignment="1">
      <alignment vertical="top" wrapText="1"/>
    </xf>
    <xf numFmtId="179" fontId="5" fillId="35" borderId="10" xfId="42" applyNumberFormat="1" applyFont="1" applyFill="1" applyBorder="1" applyAlignment="1">
      <alignment vertical="top" wrapText="1"/>
    </xf>
    <xf numFmtId="0" fontId="1" fillId="35" borderId="10" xfId="0" applyFont="1" applyFill="1" applyBorder="1" applyAlignment="1">
      <alignment/>
    </xf>
    <xf numFmtId="43" fontId="0" fillId="35" borderId="10" xfId="42" applyNumberFormat="1" applyFont="1" applyFill="1" applyBorder="1" applyAlignment="1">
      <alignment horizontal="center" vertical="center" wrapText="1"/>
    </xf>
    <xf numFmtId="0" fontId="1" fillId="35" borderId="0" xfId="0" applyFont="1" applyFill="1" applyAlignment="1">
      <alignment/>
    </xf>
    <xf numFmtId="0" fontId="3" fillId="35" borderId="10" xfId="0" applyFont="1" applyFill="1" applyBorder="1" applyAlignment="1">
      <alignment horizontal="center" vertical="top" wrapText="1"/>
    </xf>
    <xf numFmtId="176" fontId="10" fillId="35" borderId="10" xfId="42" applyNumberFormat="1" applyFont="1" applyFill="1" applyBorder="1" applyAlignment="1">
      <alignment vertical="center" wrapText="1"/>
    </xf>
    <xf numFmtId="0" fontId="3" fillId="35" borderId="10" xfId="0" applyFont="1" applyFill="1" applyBorder="1" applyAlignment="1">
      <alignment vertical="top" wrapText="1"/>
    </xf>
    <xf numFmtId="179" fontId="3" fillId="35" borderId="10" xfId="0" applyNumberFormat="1" applyFont="1" applyFill="1" applyBorder="1" applyAlignment="1">
      <alignment vertical="top" wrapText="1"/>
    </xf>
    <xf numFmtId="0" fontId="0" fillId="35" borderId="10" xfId="0" applyFont="1" applyFill="1" applyBorder="1" applyAlignment="1">
      <alignment/>
    </xf>
    <xf numFmtId="0" fontId="0" fillId="35" borderId="0" xfId="0" applyFont="1" applyFill="1" applyAlignment="1">
      <alignment/>
    </xf>
    <xf numFmtId="1" fontId="5" fillId="34" borderId="10" xfId="0" applyNumberFormat="1" applyFont="1" applyFill="1" applyBorder="1" applyAlignment="1">
      <alignment vertical="top" wrapText="1"/>
    </xf>
    <xf numFmtId="180" fontId="3" fillId="34" borderId="10" xfId="0" applyNumberFormat="1" applyFont="1" applyFill="1" applyBorder="1" applyAlignment="1">
      <alignment vertical="top" wrapText="1"/>
    </xf>
    <xf numFmtId="180" fontId="5" fillId="34" borderId="10" xfId="0" applyNumberFormat="1" applyFont="1" applyFill="1" applyBorder="1" applyAlignment="1">
      <alignment vertical="top" wrapText="1"/>
    </xf>
    <xf numFmtId="176" fontId="3" fillId="34" borderId="10" xfId="42" applyNumberFormat="1" applyFont="1" applyFill="1" applyBorder="1" applyAlignment="1" quotePrefix="1">
      <alignment vertical="center" wrapText="1"/>
    </xf>
    <xf numFmtId="0" fontId="83" fillId="0" borderId="0" xfId="0" applyFont="1" applyAlignment="1">
      <alignment horizontal="right" vertical="top" wrapText="1"/>
    </xf>
    <xf numFmtId="0" fontId="84" fillId="0" borderId="10" xfId="0" applyFont="1" applyBorder="1" applyAlignment="1">
      <alignment horizontal="center" vertical="center" wrapText="1"/>
    </xf>
    <xf numFmtId="0" fontId="84" fillId="0" borderId="10" xfId="0" applyFont="1" applyBorder="1" applyAlignment="1">
      <alignment horizontal="center" vertical="top" wrapText="1"/>
    </xf>
    <xf numFmtId="1" fontId="83" fillId="0" borderId="10" xfId="0" applyNumberFormat="1" applyFont="1" applyBorder="1" applyAlignment="1">
      <alignment vertical="top" wrapText="1"/>
    </xf>
    <xf numFmtId="1" fontId="83" fillId="34" borderId="10" xfId="0" applyNumberFormat="1" applyFont="1" applyFill="1" applyBorder="1" applyAlignment="1">
      <alignment vertical="top" wrapText="1"/>
    </xf>
    <xf numFmtId="1" fontId="84" fillId="34" borderId="10" xfId="0" applyNumberFormat="1" applyFont="1" applyFill="1" applyBorder="1" applyAlignment="1">
      <alignment vertical="top" wrapText="1"/>
    </xf>
    <xf numFmtId="0" fontId="84" fillId="34" borderId="10" xfId="0" applyFont="1" applyFill="1" applyBorder="1" applyAlignment="1">
      <alignment vertical="top" wrapText="1"/>
    </xf>
    <xf numFmtId="0" fontId="84" fillId="0" borderId="10" xfId="0" applyFont="1" applyBorder="1" applyAlignment="1">
      <alignment vertical="top" wrapText="1"/>
    </xf>
    <xf numFmtId="0" fontId="84" fillId="0" borderId="0" xfId="0" applyFont="1" applyAlignment="1">
      <alignment/>
    </xf>
    <xf numFmtId="176" fontId="5" fillId="35" borderId="10" xfId="42" applyNumberFormat="1" applyFont="1" applyFill="1" applyBorder="1" applyAlignment="1">
      <alignment vertical="center" wrapText="1"/>
    </xf>
    <xf numFmtId="180" fontId="5" fillId="35" borderId="10" xfId="0" applyNumberFormat="1" applyFont="1" applyFill="1" applyBorder="1" applyAlignment="1">
      <alignment vertical="top" wrapText="1"/>
    </xf>
    <xf numFmtId="1" fontId="83" fillId="35" borderId="10" xfId="0" applyNumberFormat="1" applyFont="1" applyFill="1" applyBorder="1" applyAlignment="1">
      <alignment vertical="top" wrapText="1"/>
    </xf>
    <xf numFmtId="0" fontId="5" fillId="35" borderId="0" xfId="0" applyFont="1" applyFill="1" applyAlignment="1">
      <alignment/>
    </xf>
    <xf numFmtId="180" fontId="3" fillId="35" borderId="10" xfId="0" applyNumberFormat="1" applyFont="1" applyFill="1" applyBorder="1" applyAlignment="1">
      <alignment vertical="top" wrapText="1"/>
    </xf>
    <xf numFmtId="1" fontId="84" fillId="35" borderId="10" xfId="0" applyNumberFormat="1" applyFont="1" applyFill="1" applyBorder="1" applyAlignment="1">
      <alignment vertical="top" wrapText="1"/>
    </xf>
    <xf numFmtId="0" fontId="3" fillId="35" borderId="0" xfId="0" applyFont="1" applyFill="1" applyAlignment="1">
      <alignment/>
    </xf>
    <xf numFmtId="0" fontId="0" fillId="34" borderId="0" xfId="0" applyFont="1" applyFill="1" applyAlignment="1">
      <alignment/>
    </xf>
    <xf numFmtId="180" fontId="5" fillId="34" borderId="10" xfId="42" applyNumberFormat="1" applyFont="1" applyFill="1" applyBorder="1" applyAlignment="1">
      <alignment vertical="top" wrapText="1"/>
    </xf>
    <xf numFmtId="0" fontId="1" fillId="34" borderId="0" xfId="0" applyFont="1" applyFill="1" applyAlignment="1">
      <alignment/>
    </xf>
    <xf numFmtId="0" fontId="1" fillId="35" borderId="0" xfId="0" applyFont="1" applyFill="1" applyAlignment="1">
      <alignment/>
    </xf>
    <xf numFmtId="3" fontId="5" fillId="35" borderId="0" xfId="0" applyNumberFormat="1" applyFont="1" applyFill="1" applyAlignment="1">
      <alignment/>
    </xf>
    <xf numFmtId="176" fontId="3" fillId="35" borderId="10" xfId="42" applyNumberFormat="1" applyFont="1" applyFill="1" applyBorder="1" applyAlignment="1">
      <alignment vertical="top" wrapText="1"/>
    </xf>
    <xf numFmtId="0" fontId="0" fillId="35" borderId="10" xfId="0" applyFill="1" applyBorder="1" applyAlignment="1">
      <alignment/>
    </xf>
    <xf numFmtId="0" fontId="0" fillId="35" borderId="0" xfId="0" applyFill="1" applyAlignment="1">
      <alignment/>
    </xf>
    <xf numFmtId="0" fontId="85" fillId="0" borderId="0" xfId="0" applyFont="1" applyFill="1" applyAlignment="1">
      <alignment/>
    </xf>
    <xf numFmtId="0" fontId="86" fillId="0" borderId="0" xfId="0" applyFont="1" applyFill="1" applyAlignment="1">
      <alignment/>
    </xf>
    <xf numFmtId="0" fontId="84" fillId="0" borderId="0" xfId="0" applyFont="1" applyFill="1" applyAlignment="1">
      <alignment/>
    </xf>
    <xf numFmtId="0" fontId="84" fillId="0" borderId="10" xfId="0" applyFont="1" applyFill="1" applyBorder="1" applyAlignment="1">
      <alignment horizontal="center" vertical="top" wrapText="1"/>
    </xf>
    <xf numFmtId="0" fontId="84" fillId="0" borderId="10" xfId="0" applyFont="1" applyFill="1" applyBorder="1" applyAlignment="1">
      <alignment vertical="top" wrapText="1"/>
    </xf>
    <xf numFmtId="179" fontId="84" fillId="34" borderId="10" xfId="0" applyNumberFormat="1" applyFont="1" applyFill="1" applyBorder="1" applyAlignment="1">
      <alignment vertical="top" wrapText="1"/>
    </xf>
    <xf numFmtId="179" fontId="83" fillId="34" borderId="10" xfId="0" applyNumberFormat="1" applyFont="1" applyFill="1" applyBorder="1" applyAlignment="1">
      <alignment vertical="top" wrapText="1"/>
    </xf>
    <xf numFmtId="179" fontId="84" fillId="35" borderId="10" xfId="0" applyNumberFormat="1" applyFont="1" applyFill="1" applyBorder="1" applyAlignment="1">
      <alignment vertical="top" wrapText="1"/>
    </xf>
    <xf numFmtId="179" fontId="83" fillId="34" borderId="10" xfId="42" applyNumberFormat="1" applyFont="1" applyFill="1" applyBorder="1" applyAlignment="1">
      <alignment vertical="top" wrapText="1"/>
    </xf>
    <xf numFmtId="179" fontId="83" fillId="35" borderId="10" xfId="0" applyNumberFormat="1" applyFont="1" applyFill="1" applyBorder="1" applyAlignment="1">
      <alignment vertical="top" wrapText="1"/>
    </xf>
    <xf numFmtId="0" fontId="87" fillId="0" borderId="0" xfId="0" applyFont="1" applyFill="1" applyAlignment="1">
      <alignment/>
    </xf>
    <xf numFmtId="0" fontId="0" fillId="35" borderId="0" xfId="0" applyFont="1" applyFill="1" applyAlignment="1">
      <alignment/>
    </xf>
    <xf numFmtId="43" fontId="1" fillId="35" borderId="10" xfId="0" applyNumberFormat="1" applyFont="1" applyFill="1" applyBorder="1" applyAlignment="1">
      <alignment/>
    </xf>
    <xf numFmtId="0" fontId="1" fillId="35" borderId="10" xfId="0" applyFont="1" applyFill="1" applyBorder="1" applyAlignment="1">
      <alignment/>
    </xf>
    <xf numFmtId="43" fontId="5" fillId="35" borderId="10" xfId="0" applyNumberFormat="1" applyFont="1" applyFill="1" applyBorder="1" applyAlignment="1">
      <alignment vertical="top" wrapText="1"/>
    </xf>
    <xf numFmtId="176" fontId="3" fillId="35" borderId="10" xfId="42" applyNumberFormat="1" applyFont="1" applyFill="1" applyBorder="1" applyAlignment="1" quotePrefix="1">
      <alignment vertical="top" wrapText="1"/>
    </xf>
    <xf numFmtId="43" fontId="3" fillId="35" borderId="10" xfId="0" applyNumberFormat="1" applyFont="1" applyFill="1" applyBorder="1" applyAlignment="1">
      <alignment vertical="top" wrapText="1"/>
    </xf>
    <xf numFmtId="2" fontId="5" fillId="35" borderId="10" xfId="0" applyNumberFormat="1" applyFont="1" applyFill="1" applyBorder="1" applyAlignment="1">
      <alignment vertical="top" wrapText="1"/>
    </xf>
    <xf numFmtId="184" fontId="3" fillId="35" borderId="10" xfId="0" applyNumberFormat="1" applyFont="1" applyFill="1" applyBorder="1" applyAlignment="1">
      <alignment vertical="top" wrapText="1"/>
    </xf>
    <xf numFmtId="0" fontId="3" fillId="35" borderId="10" xfId="0" applyFont="1" applyFill="1" applyBorder="1" applyAlignment="1" quotePrefix="1">
      <alignment vertical="top" wrapText="1"/>
    </xf>
    <xf numFmtId="176" fontId="3" fillId="35" borderId="10" xfId="0" applyNumberFormat="1" applyFont="1" applyFill="1" applyBorder="1" applyAlignment="1">
      <alignment vertical="top" wrapText="1"/>
    </xf>
    <xf numFmtId="179" fontId="5" fillId="35" borderId="10" xfId="0" applyNumberFormat="1" applyFont="1" applyFill="1" applyBorder="1" applyAlignment="1">
      <alignment horizontal="right" vertical="center" wrapText="1"/>
    </xf>
    <xf numFmtId="180" fontId="84" fillId="35" borderId="10" xfId="0" applyNumberFormat="1" applyFont="1" applyFill="1" applyBorder="1" applyAlignment="1">
      <alignment vertical="top" wrapText="1"/>
    </xf>
    <xf numFmtId="0" fontId="1" fillId="35" borderId="0" xfId="0" applyFont="1" applyFill="1" applyAlignment="1">
      <alignment/>
    </xf>
    <xf numFmtId="176" fontId="5" fillId="35" borderId="10" xfId="0" applyNumberFormat="1" applyFont="1" applyFill="1" applyBorder="1" applyAlignment="1">
      <alignment vertical="top" wrapText="1"/>
    </xf>
    <xf numFmtId="43" fontId="1" fillId="35" borderId="10" xfId="0" applyNumberFormat="1" applyFont="1" applyFill="1" applyBorder="1" applyAlignment="1">
      <alignment/>
    </xf>
    <xf numFmtId="176" fontId="10" fillId="35" borderId="10" xfId="42" applyNumberFormat="1" applyFont="1" applyFill="1" applyBorder="1" applyAlignment="1" quotePrefix="1">
      <alignment vertical="center" wrapText="1"/>
    </xf>
    <xf numFmtId="179" fontId="3" fillId="35" borderId="10" xfId="0" applyNumberFormat="1" applyFont="1" applyFill="1" applyBorder="1" applyAlignment="1">
      <alignment horizontal="right" vertical="center" wrapText="1"/>
    </xf>
    <xf numFmtId="0" fontId="84" fillId="35" borderId="10" xfId="0" applyFont="1" applyFill="1" applyBorder="1" applyAlignment="1">
      <alignment vertical="top" wrapText="1"/>
    </xf>
    <xf numFmtId="176" fontId="3" fillId="35" borderId="10" xfId="42" applyNumberFormat="1" applyFont="1" applyFill="1" applyBorder="1" applyAlignment="1">
      <alignment vertical="center" wrapText="1"/>
    </xf>
    <xf numFmtId="2" fontId="84" fillId="35" borderId="10" xfId="0" applyNumberFormat="1" applyFont="1" applyFill="1" applyBorder="1" applyAlignment="1">
      <alignment vertical="top" wrapText="1"/>
    </xf>
    <xf numFmtId="176" fontId="3" fillId="35" borderId="10" xfId="42" applyNumberFormat="1" applyFont="1" applyFill="1" applyBorder="1" applyAlignment="1" quotePrefix="1">
      <alignment vertical="center" wrapText="1"/>
    </xf>
    <xf numFmtId="178" fontId="5" fillId="35" borderId="10" xfId="0" applyNumberFormat="1" applyFont="1" applyFill="1" applyBorder="1" applyAlignment="1">
      <alignment vertical="top" wrapText="1"/>
    </xf>
    <xf numFmtId="2" fontId="83" fillId="35" borderId="10" xfId="0" applyNumberFormat="1" applyFont="1" applyFill="1" applyBorder="1" applyAlignment="1">
      <alignment vertical="top" wrapText="1"/>
    </xf>
    <xf numFmtId="184" fontId="5" fillId="35" borderId="10" xfId="0" applyNumberFormat="1" applyFont="1" applyFill="1" applyBorder="1" applyAlignment="1">
      <alignment vertical="top" wrapText="1"/>
    </xf>
    <xf numFmtId="180" fontId="3" fillId="35" borderId="10" xfId="42" applyNumberFormat="1" applyFont="1" applyFill="1" applyBorder="1" applyAlignment="1">
      <alignment vertical="top" wrapText="1"/>
    </xf>
    <xf numFmtId="180" fontId="3" fillId="35" borderId="10" xfId="0" applyNumberFormat="1" applyFont="1" applyFill="1" applyBorder="1" applyAlignment="1">
      <alignment vertical="center" wrapText="1"/>
    </xf>
    <xf numFmtId="179" fontId="0" fillId="35" borderId="0" xfId="42" applyNumberFormat="1" applyFont="1" applyFill="1" applyAlignment="1">
      <alignment/>
    </xf>
    <xf numFmtId="179" fontId="3" fillId="35" borderId="10" xfId="42" applyNumberFormat="1" applyFont="1" applyFill="1" applyBorder="1" applyAlignment="1">
      <alignment horizontal="center" vertical="top" wrapText="1"/>
    </xf>
    <xf numFmtId="179" fontId="0" fillId="35" borderId="10" xfId="42" applyNumberFormat="1" applyFont="1" applyFill="1" applyBorder="1" applyAlignment="1">
      <alignment/>
    </xf>
    <xf numFmtId="179" fontId="0" fillId="35" borderId="0" xfId="42" applyNumberFormat="1" applyFont="1" applyFill="1" applyAlignment="1">
      <alignment/>
    </xf>
    <xf numFmtId="179" fontId="11" fillId="35" borderId="10" xfId="0" applyNumberFormat="1" applyFont="1" applyFill="1" applyBorder="1" applyAlignment="1">
      <alignment vertical="center"/>
    </xf>
    <xf numFmtId="0" fontId="6" fillId="35" borderId="10" xfId="0" applyFont="1" applyFill="1" applyBorder="1" applyAlignment="1">
      <alignment horizontal="center" vertical="top" wrapText="1"/>
    </xf>
    <xf numFmtId="176" fontId="6" fillId="35" borderId="10" xfId="42" applyNumberFormat="1" applyFont="1" applyFill="1" applyBorder="1" applyAlignment="1" quotePrefix="1">
      <alignment vertical="top" wrapText="1"/>
    </xf>
    <xf numFmtId="0" fontId="6" fillId="35" borderId="10" xfId="0" applyFont="1" applyFill="1" applyBorder="1" applyAlignment="1">
      <alignment vertical="top" wrapText="1"/>
    </xf>
    <xf numFmtId="180" fontId="6" fillId="35" borderId="10" xfId="0" applyNumberFormat="1" applyFont="1" applyFill="1" applyBorder="1" applyAlignment="1">
      <alignment vertical="top" wrapText="1"/>
    </xf>
    <xf numFmtId="0" fontId="6" fillId="35" borderId="0" xfId="0" applyFont="1" applyFill="1" applyAlignment="1">
      <alignment/>
    </xf>
    <xf numFmtId="2" fontId="3" fillId="35" borderId="10" xfId="0" applyNumberFormat="1" applyFont="1" applyFill="1" applyBorder="1" applyAlignment="1">
      <alignment vertical="top" wrapText="1"/>
    </xf>
    <xf numFmtId="0" fontId="3" fillId="35" borderId="15" xfId="0" applyFont="1" applyFill="1" applyBorder="1" applyAlignment="1">
      <alignment vertical="top" wrapText="1"/>
    </xf>
    <xf numFmtId="180" fontId="3" fillId="35" borderId="15" xfId="42" applyNumberFormat="1" applyFont="1" applyFill="1" applyBorder="1" applyAlignment="1">
      <alignment vertical="top" wrapText="1"/>
    </xf>
    <xf numFmtId="180" fontId="3" fillId="35" borderId="16" xfId="0" applyNumberFormat="1" applyFont="1" applyFill="1" applyBorder="1" applyAlignment="1">
      <alignment vertical="center" wrapText="1"/>
    </xf>
    <xf numFmtId="180" fontId="3" fillId="35" borderId="15" xfId="0" applyNumberFormat="1" applyFont="1" applyFill="1" applyBorder="1" applyAlignment="1">
      <alignment vertical="top" wrapText="1"/>
    </xf>
    <xf numFmtId="176" fontId="1" fillId="35" borderId="10" xfId="0" applyNumberFormat="1" applyFont="1" applyFill="1" applyBorder="1" applyAlignment="1">
      <alignment/>
    </xf>
    <xf numFmtId="0" fontId="0" fillId="35" borderId="0" xfId="0" applyFont="1" applyFill="1" applyAlignment="1">
      <alignment/>
    </xf>
    <xf numFmtId="2" fontId="3" fillId="35" borderId="10" xfId="0" applyNumberFormat="1" applyFont="1" applyFill="1" applyBorder="1" applyAlignment="1" quotePrefix="1">
      <alignment vertical="top" wrapText="1"/>
    </xf>
    <xf numFmtId="176" fontId="5" fillId="35" borderId="10" xfId="42" applyNumberFormat="1" applyFont="1" applyFill="1" applyBorder="1" applyAlignment="1">
      <alignment vertical="top" wrapText="1"/>
    </xf>
    <xf numFmtId="180" fontId="3" fillId="35" borderId="17" xfId="0" applyNumberFormat="1" applyFont="1" applyFill="1" applyBorder="1" applyAlignment="1">
      <alignment vertical="center" wrapText="1"/>
    </xf>
    <xf numFmtId="0" fontId="5" fillId="35" borderId="10" xfId="0" applyFont="1" applyFill="1" applyBorder="1" applyAlignment="1" quotePrefix="1">
      <alignment vertical="top" wrapText="1"/>
    </xf>
    <xf numFmtId="0" fontId="3" fillId="35" borderId="10" xfId="0" applyFont="1" applyFill="1" applyBorder="1" applyAlignment="1">
      <alignment/>
    </xf>
    <xf numFmtId="186" fontId="3" fillId="35" borderId="10" xfId="0" applyNumberFormat="1" applyFont="1" applyFill="1" applyBorder="1" applyAlignment="1">
      <alignment vertical="top" wrapText="1"/>
    </xf>
    <xf numFmtId="2" fontId="88" fillId="35" borderId="10" xfId="0" applyNumberFormat="1" applyFont="1" applyFill="1" applyBorder="1" applyAlignment="1">
      <alignment vertical="top" wrapText="1"/>
    </xf>
    <xf numFmtId="0" fontId="84" fillId="35" borderId="10" xfId="0" applyFont="1" applyFill="1" applyBorder="1" applyAlignment="1">
      <alignment horizontal="center" vertical="top" wrapText="1"/>
    </xf>
    <xf numFmtId="176" fontId="84" fillId="35" borderId="10" xfId="42" applyNumberFormat="1" applyFont="1" applyFill="1" applyBorder="1" applyAlignment="1">
      <alignment vertical="top" wrapText="1"/>
    </xf>
    <xf numFmtId="179" fontId="84" fillId="35" borderId="10" xfId="42" applyNumberFormat="1" applyFont="1" applyFill="1" applyBorder="1" applyAlignment="1">
      <alignment vertical="top" wrapText="1"/>
    </xf>
    <xf numFmtId="43" fontId="84" fillId="35" borderId="10" xfId="0" applyNumberFormat="1" applyFont="1" applyFill="1" applyBorder="1" applyAlignment="1">
      <alignment vertical="top" wrapText="1"/>
    </xf>
    <xf numFmtId="0" fontId="86" fillId="35" borderId="0" xfId="0" applyFont="1" applyFill="1" applyAlignment="1">
      <alignment/>
    </xf>
    <xf numFmtId="179" fontId="89" fillId="35" borderId="10" xfId="0" applyNumberFormat="1" applyFont="1" applyFill="1" applyBorder="1" applyAlignment="1">
      <alignment vertical="top" wrapText="1"/>
    </xf>
    <xf numFmtId="179" fontId="90" fillId="35" borderId="10" xfId="42" applyNumberFormat="1" applyFont="1" applyFill="1" applyBorder="1" applyAlignment="1">
      <alignment vertical="top" wrapText="1"/>
    </xf>
    <xf numFmtId="0" fontId="91" fillId="35" borderId="0" xfId="0" applyFont="1" applyFill="1" applyAlignment="1">
      <alignment vertical="center"/>
    </xf>
    <xf numFmtId="0" fontId="89" fillId="35" borderId="10" xfId="0" applyFont="1" applyFill="1" applyBorder="1" applyAlignment="1">
      <alignment horizontal="center" vertical="center" wrapText="1"/>
    </xf>
    <xf numFmtId="176" fontId="89" fillId="35" borderId="10" xfId="42" applyNumberFormat="1" applyFont="1" applyFill="1" applyBorder="1" applyAlignment="1" quotePrefix="1">
      <alignment vertical="center" wrapText="1"/>
    </xf>
    <xf numFmtId="2" fontId="90" fillId="35" borderId="10" xfId="0" applyNumberFormat="1" applyFont="1" applyFill="1" applyBorder="1" applyAlignment="1" quotePrefix="1">
      <alignment vertical="center" wrapText="1"/>
    </xf>
    <xf numFmtId="0" fontId="89" fillId="35" borderId="10" xfId="0" applyFont="1" applyFill="1" applyBorder="1" applyAlignment="1">
      <alignment vertical="center" wrapText="1"/>
    </xf>
    <xf numFmtId="179" fontId="89" fillId="35" borderId="10" xfId="42" applyNumberFormat="1" applyFont="1" applyFill="1" applyBorder="1" applyAlignment="1">
      <alignment vertical="center" wrapText="1"/>
    </xf>
    <xf numFmtId="179" fontId="90" fillId="35" borderId="10" xfId="0" applyNumberFormat="1" applyFont="1" applyFill="1" applyBorder="1" applyAlignment="1">
      <alignment vertical="center" wrapText="1"/>
    </xf>
    <xf numFmtId="179" fontId="89" fillId="35" borderId="10" xfId="0" applyNumberFormat="1" applyFont="1" applyFill="1" applyBorder="1" applyAlignment="1">
      <alignment vertical="center" wrapText="1"/>
    </xf>
    <xf numFmtId="0" fontId="91" fillId="35" borderId="10" xfId="0" applyFont="1" applyFill="1" applyBorder="1" applyAlignment="1">
      <alignment vertical="center"/>
    </xf>
    <xf numFmtId="43" fontId="91" fillId="35" borderId="10" xfId="42" applyNumberFormat="1" applyFont="1" applyFill="1" applyBorder="1" applyAlignment="1">
      <alignment horizontal="center" vertical="center" wrapText="1"/>
    </xf>
    <xf numFmtId="2" fontId="5" fillId="34" borderId="10" xfId="0" applyNumberFormat="1" applyFont="1" applyFill="1" applyBorder="1" applyAlignment="1">
      <alignment vertical="top" wrapText="1"/>
    </xf>
    <xf numFmtId="179" fontId="5" fillId="35" borderId="10" xfId="0" applyNumberFormat="1" applyFont="1" applyFill="1" applyBorder="1" applyAlignment="1">
      <alignment vertical="center" wrapText="1"/>
    </xf>
    <xf numFmtId="179" fontId="3" fillId="35" borderId="10" xfId="0" applyNumberFormat="1" applyFont="1" applyFill="1" applyBorder="1" applyAlignment="1">
      <alignment vertical="center" wrapText="1"/>
    </xf>
    <xf numFmtId="43" fontId="3" fillId="35" borderId="10" xfId="0" applyNumberFormat="1" applyFont="1" applyFill="1" applyBorder="1" applyAlignment="1">
      <alignment vertical="top" wrapText="1"/>
    </xf>
    <xf numFmtId="0" fontId="88" fillId="0" borderId="0" xfId="0" applyFont="1" applyAlignment="1">
      <alignment horizontal="right"/>
    </xf>
    <xf numFmtId="180" fontId="84" fillId="34" borderId="10" xfId="0" applyNumberFormat="1" applyFont="1" applyFill="1" applyBorder="1" applyAlignment="1">
      <alignment vertical="top" wrapText="1"/>
    </xf>
    <xf numFmtId="180" fontId="83" fillId="34" borderId="10" xfId="0" applyNumberFormat="1" applyFont="1" applyFill="1" applyBorder="1" applyAlignment="1">
      <alignment vertical="top" wrapText="1"/>
    </xf>
    <xf numFmtId="178" fontId="83" fillId="35" borderId="10" xfId="0" applyNumberFormat="1" applyFont="1" applyFill="1" applyBorder="1" applyAlignment="1">
      <alignment vertical="top" wrapText="1"/>
    </xf>
    <xf numFmtId="43" fontId="83" fillId="35" borderId="10" xfId="0" applyNumberFormat="1" applyFont="1" applyFill="1" applyBorder="1" applyAlignment="1">
      <alignment vertical="top" wrapText="1"/>
    </xf>
    <xf numFmtId="184" fontId="83" fillId="35" borderId="10" xfId="0" applyNumberFormat="1" applyFont="1" applyFill="1" applyBorder="1" applyAlignment="1">
      <alignment vertical="top" wrapText="1"/>
    </xf>
    <xf numFmtId="0" fontId="86" fillId="0" borderId="0" xfId="0" applyFont="1" applyAlignment="1">
      <alignment/>
    </xf>
    <xf numFmtId="1" fontId="5" fillId="35" borderId="10" xfId="0" applyNumberFormat="1" applyFont="1" applyFill="1" applyBorder="1" applyAlignment="1">
      <alignment vertical="top" wrapText="1"/>
    </xf>
    <xf numFmtId="180" fontId="83" fillId="35" borderId="10" xfId="0" applyNumberFormat="1" applyFont="1" applyFill="1" applyBorder="1" applyAlignment="1">
      <alignment vertical="top" wrapText="1"/>
    </xf>
    <xf numFmtId="191" fontId="5" fillId="35" borderId="10" xfId="0" applyNumberFormat="1" applyFont="1" applyFill="1" applyBorder="1" applyAlignment="1">
      <alignment vertical="top" wrapText="1"/>
    </xf>
    <xf numFmtId="179" fontId="3" fillId="35" borderId="10" xfId="0" applyNumberFormat="1" applyFont="1" applyFill="1" applyBorder="1" applyAlignment="1">
      <alignment horizontal="right" vertical="top" wrapText="1"/>
    </xf>
    <xf numFmtId="0" fontId="3" fillId="0" borderId="10" xfId="0" applyFont="1" applyFill="1" applyBorder="1" applyAlignment="1">
      <alignment wrapText="1"/>
    </xf>
    <xf numFmtId="179" fontId="84" fillId="0" borderId="10" xfId="0" applyNumberFormat="1" applyFont="1" applyFill="1" applyBorder="1" applyAlignment="1">
      <alignment vertical="top" wrapText="1"/>
    </xf>
    <xf numFmtId="179" fontId="83" fillId="0" borderId="10" xfId="0" applyNumberFormat="1" applyFont="1" applyFill="1" applyBorder="1" applyAlignment="1">
      <alignment vertical="top" wrapText="1"/>
    </xf>
    <xf numFmtId="0" fontId="1" fillId="0" borderId="10" xfId="0" applyFont="1" applyFill="1" applyBorder="1" applyAlignment="1">
      <alignment/>
    </xf>
    <xf numFmtId="43" fontId="0" fillId="0" borderId="10" xfId="42" applyNumberFormat="1" applyFont="1" applyFill="1" applyBorder="1" applyAlignment="1">
      <alignment horizontal="center" vertical="center" wrapText="1"/>
    </xf>
    <xf numFmtId="176" fontId="5" fillId="0" borderId="10" xfId="42" applyNumberFormat="1" applyFont="1" applyFill="1" applyBorder="1" applyAlignment="1">
      <alignment/>
    </xf>
    <xf numFmtId="43" fontId="1" fillId="0" borderId="10" xfId="0" applyNumberFormat="1" applyFont="1" applyFill="1" applyBorder="1" applyAlignment="1">
      <alignment/>
    </xf>
    <xf numFmtId="180" fontId="3" fillId="0" borderId="17" xfId="59" applyNumberFormat="1" applyFont="1" applyFill="1" applyBorder="1" applyAlignment="1">
      <alignment horizontal="right" vertical="center" wrapText="1"/>
      <protection/>
    </xf>
    <xf numFmtId="180" fontId="3" fillId="0" borderId="10" xfId="0" applyNumberFormat="1" applyFont="1" applyFill="1" applyBorder="1" applyAlignment="1">
      <alignment vertical="top" wrapText="1"/>
    </xf>
    <xf numFmtId="1" fontId="84" fillId="0" borderId="10" xfId="0" applyNumberFormat="1" applyFont="1" applyFill="1" applyBorder="1" applyAlignment="1">
      <alignment vertical="top" wrapText="1"/>
    </xf>
    <xf numFmtId="43" fontId="3" fillId="0" borderId="0" xfId="42" applyNumberFormat="1" applyFont="1" applyFill="1" applyAlignment="1">
      <alignment/>
    </xf>
    <xf numFmtId="180" fontId="5" fillId="0" borderId="10" xfId="0" applyNumberFormat="1" applyFont="1" applyFill="1" applyBorder="1" applyAlignment="1">
      <alignment vertical="top" wrapText="1"/>
    </xf>
    <xf numFmtId="1" fontId="83" fillId="0" borderId="10" xfId="0" applyNumberFormat="1" applyFont="1" applyFill="1" applyBorder="1" applyAlignment="1">
      <alignment vertical="top" wrapText="1"/>
    </xf>
    <xf numFmtId="180" fontId="84" fillId="0" borderId="10" xfId="0" applyNumberFormat="1" applyFont="1" applyFill="1" applyBorder="1" applyAlignment="1">
      <alignment vertical="top" wrapText="1"/>
    </xf>
    <xf numFmtId="180" fontId="3" fillId="0" borderId="10" xfId="42" applyNumberFormat="1" applyFont="1" applyFill="1" applyBorder="1" applyAlignment="1">
      <alignment vertical="top" wrapText="1"/>
    </xf>
    <xf numFmtId="3" fontId="3" fillId="0" borderId="10" xfId="0" applyNumberFormat="1" applyFont="1" applyFill="1" applyBorder="1" applyAlignment="1">
      <alignment vertical="top" wrapText="1"/>
    </xf>
    <xf numFmtId="182" fontId="3" fillId="0" borderId="10" xfId="0" applyNumberFormat="1" applyFont="1" applyFill="1" applyBorder="1" applyAlignment="1">
      <alignment vertical="top" wrapText="1"/>
    </xf>
    <xf numFmtId="43" fontId="3" fillId="35" borderId="0" xfId="42" applyNumberFormat="1" applyFont="1" applyFill="1" applyAlignment="1">
      <alignment/>
    </xf>
    <xf numFmtId="176" fontId="3" fillId="35" borderId="10" xfId="42" applyNumberFormat="1" applyFont="1" applyFill="1" applyBorder="1" applyAlignment="1" quotePrefix="1">
      <alignment/>
    </xf>
    <xf numFmtId="0" fontId="3" fillId="35" borderId="0" xfId="0" applyFont="1" applyFill="1" applyAlignment="1">
      <alignment/>
    </xf>
    <xf numFmtId="3" fontId="3" fillId="35" borderId="0" xfId="0" applyNumberFormat="1" applyFont="1" applyFill="1" applyAlignment="1">
      <alignment/>
    </xf>
    <xf numFmtId="43" fontId="0" fillId="35" borderId="10" xfId="42" applyFont="1" applyFill="1" applyBorder="1" applyAlignment="1">
      <alignment/>
    </xf>
    <xf numFmtId="43" fontId="0" fillId="35" borderId="0" xfId="42" applyFont="1" applyFill="1" applyAlignment="1">
      <alignment/>
    </xf>
    <xf numFmtId="180" fontId="5" fillId="35" borderId="10" xfId="42" applyNumberFormat="1" applyFont="1" applyFill="1" applyBorder="1" applyAlignment="1">
      <alignment vertical="top" wrapText="1"/>
    </xf>
    <xf numFmtId="0" fontId="91" fillId="35" borderId="0" xfId="0" applyFont="1" applyFill="1" applyAlignment="1">
      <alignment/>
    </xf>
    <xf numFmtId="0" fontId="89" fillId="35" borderId="10" xfId="0" applyFont="1" applyFill="1" applyBorder="1" applyAlignment="1">
      <alignment horizontal="center" vertical="top" wrapText="1"/>
    </xf>
    <xf numFmtId="176" fontId="89" fillId="35" borderId="10" xfId="42" applyNumberFormat="1" applyFont="1" applyFill="1" applyBorder="1" applyAlignment="1" quotePrefix="1">
      <alignment vertical="top" wrapText="1"/>
    </xf>
    <xf numFmtId="2" fontId="90" fillId="35" borderId="10" xfId="0" applyNumberFormat="1" applyFont="1" applyFill="1" applyBorder="1" applyAlignment="1" quotePrefix="1">
      <alignment vertical="top" wrapText="1"/>
    </xf>
    <xf numFmtId="0" fontId="89" fillId="35" borderId="10" xfId="0" applyFont="1" applyFill="1" applyBorder="1" applyAlignment="1">
      <alignment vertical="top" wrapText="1"/>
    </xf>
    <xf numFmtId="179" fontId="90" fillId="35" borderId="10" xfId="0" applyNumberFormat="1" applyFont="1" applyFill="1" applyBorder="1" applyAlignment="1">
      <alignment vertical="top" wrapText="1"/>
    </xf>
    <xf numFmtId="0" fontId="91" fillId="35" borderId="10" xfId="0" applyFont="1" applyFill="1" applyBorder="1" applyAlignment="1">
      <alignment/>
    </xf>
    <xf numFmtId="0" fontId="91" fillId="35" borderId="0" xfId="0" applyFont="1" applyFill="1" applyAlignment="1">
      <alignment/>
    </xf>
    <xf numFmtId="0" fontId="6" fillId="35" borderId="10" xfId="0" applyFont="1" applyFill="1" applyBorder="1" applyAlignment="1">
      <alignment horizontal="center" vertical="top" wrapText="1"/>
    </xf>
    <xf numFmtId="0" fontId="6" fillId="35" borderId="10" xfId="0" applyFont="1" applyFill="1" applyBorder="1" applyAlignment="1">
      <alignment vertical="top" wrapText="1"/>
    </xf>
    <xf numFmtId="180" fontId="6" fillId="35" borderId="10" xfId="0" applyNumberFormat="1" applyFont="1" applyFill="1" applyBorder="1" applyAlignment="1">
      <alignment vertical="top" wrapText="1"/>
    </xf>
    <xf numFmtId="0" fontId="6" fillId="35" borderId="0" xfId="0" applyFont="1" applyFill="1" applyAlignment="1">
      <alignment/>
    </xf>
    <xf numFmtId="0" fontId="3" fillId="35" borderId="10" xfId="0" applyFont="1" applyFill="1" applyBorder="1" applyAlignment="1">
      <alignment horizontal="center" vertical="top" wrapText="1"/>
    </xf>
    <xf numFmtId="0" fontId="3" fillId="35" borderId="10" xfId="0" applyFont="1" applyFill="1" applyBorder="1" applyAlignment="1">
      <alignment vertical="top" wrapText="1"/>
    </xf>
    <xf numFmtId="0" fontId="3" fillId="35" borderId="10" xfId="0" applyFont="1" applyFill="1" applyBorder="1" applyAlignment="1">
      <alignment horizontal="right" vertical="top" wrapText="1"/>
    </xf>
    <xf numFmtId="1" fontId="3" fillId="0" borderId="17" xfId="59" applyNumberFormat="1" applyFont="1" applyFill="1" applyBorder="1" applyAlignment="1">
      <alignment horizontal="right" vertical="center" wrapText="1"/>
      <protection/>
    </xf>
    <xf numFmtId="179" fontId="3" fillId="35" borderId="10" xfId="42" applyNumberFormat="1" applyFont="1" applyFill="1" applyBorder="1" applyAlignment="1" quotePrefix="1">
      <alignment vertical="top" wrapText="1"/>
    </xf>
    <xf numFmtId="179" fontId="6" fillId="35" borderId="10" xfId="42" applyNumberFormat="1" applyFont="1" applyFill="1" applyBorder="1" applyAlignment="1">
      <alignment vertical="top" wrapText="1"/>
    </xf>
    <xf numFmtId="1" fontId="88" fillId="35" borderId="10" xfId="0" applyNumberFormat="1" applyFont="1" applyFill="1" applyBorder="1" applyAlignment="1">
      <alignment vertical="top" wrapText="1"/>
    </xf>
    <xf numFmtId="179" fontId="6" fillId="35" borderId="10" xfId="42" applyNumberFormat="1" applyFont="1" applyFill="1" applyBorder="1" applyAlignment="1">
      <alignment vertical="top" wrapText="1"/>
    </xf>
    <xf numFmtId="180" fontId="6" fillId="35" borderId="10" xfId="42" applyNumberFormat="1" applyFont="1" applyFill="1" applyBorder="1" applyAlignment="1">
      <alignment vertical="top" wrapText="1"/>
    </xf>
    <xf numFmtId="180" fontId="88" fillId="35" borderId="10" xfId="0" applyNumberFormat="1" applyFont="1" applyFill="1" applyBorder="1" applyAlignment="1">
      <alignment vertical="top" wrapText="1"/>
    </xf>
    <xf numFmtId="0" fontId="20" fillId="35" borderId="0" xfId="0" applyFont="1" applyFill="1" applyAlignment="1">
      <alignment/>
    </xf>
    <xf numFmtId="0" fontId="3" fillId="35" borderId="10" xfId="0" applyFont="1" applyFill="1" applyBorder="1" applyAlignment="1">
      <alignment vertical="center" wrapText="1"/>
    </xf>
    <xf numFmtId="1" fontId="3" fillId="35" borderId="17" xfId="59" applyNumberFormat="1" applyFont="1" applyFill="1" applyBorder="1" applyAlignment="1">
      <alignment horizontal="right" vertical="center" wrapText="1"/>
      <protection/>
    </xf>
    <xf numFmtId="180" fontId="3" fillId="35" borderId="17" xfId="59" applyNumberFormat="1" applyFont="1" applyFill="1" applyBorder="1" applyAlignment="1">
      <alignment horizontal="center" vertical="center" wrapText="1"/>
      <protection/>
    </xf>
    <xf numFmtId="180" fontId="3" fillId="35" borderId="17" xfId="59" applyNumberFormat="1" applyFont="1" applyFill="1" applyBorder="1" applyAlignment="1">
      <alignment horizontal="right" vertical="center" wrapText="1"/>
      <protection/>
    </xf>
    <xf numFmtId="1" fontId="3" fillId="35" borderId="10" xfId="0" applyNumberFormat="1" applyFont="1" applyFill="1" applyBorder="1" applyAlignment="1">
      <alignment vertical="top" wrapText="1"/>
    </xf>
    <xf numFmtId="3" fontId="3" fillId="35" borderId="0" xfId="0" applyNumberFormat="1" applyFont="1" applyFill="1" applyAlignment="1">
      <alignment/>
    </xf>
    <xf numFmtId="176" fontId="83" fillId="35" borderId="10" xfId="42" applyNumberFormat="1" applyFont="1" applyFill="1" applyBorder="1" applyAlignment="1">
      <alignment vertical="top" wrapText="1"/>
    </xf>
    <xf numFmtId="43" fontId="1" fillId="35" borderId="10" xfId="42" applyFont="1" applyFill="1" applyBorder="1" applyAlignment="1">
      <alignment/>
    </xf>
    <xf numFmtId="43" fontId="0" fillId="35" borderId="10" xfId="42" applyFont="1" applyFill="1" applyBorder="1" applyAlignment="1">
      <alignment/>
    </xf>
    <xf numFmtId="0" fontId="0" fillId="35" borderId="0" xfId="0" applyFont="1" applyFill="1" applyAlignment="1">
      <alignment vertical="center"/>
    </xf>
    <xf numFmtId="0" fontId="3" fillId="35" borderId="10" xfId="0" applyFont="1" applyFill="1" applyBorder="1" applyAlignment="1">
      <alignment horizontal="center" vertical="center" wrapText="1"/>
    </xf>
    <xf numFmtId="2" fontId="5" fillId="35" borderId="10" xfId="0" applyNumberFormat="1" applyFont="1" applyFill="1" applyBorder="1" applyAlignment="1" quotePrefix="1">
      <alignment vertical="center" wrapText="1"/>
    </xf>
    <xf numFmtId="179" fontId="3" fillId="35" borderId="10" xfId="42" applyNumberFormat="1" applyFont="1" applyFill="1" applyBorder="1" applyAlignment="1">
      <alignment vertical="center" wrapText="1"/>
    </xf>
    <xf numFmtId="179" fontId="5" fillId="35" borderId="10" xfId="42" applyNumberFormat="1" applyFont="1" applyFill="1" applyBorder="1" applyAlignment="1">
      <alignment vertical="center" wrapText="1"/>
    </xf>
    <xf numFmtId="179" fontId="84" fillId="35" borderId="10" xfId="0" applyNumberFormat="1" applyFont="1" applyFill="1" applyBorder="1" applyAlignment="1">
      <alignment vertical="center" wrapText="1"/>
    </xf>
    <xf numFmtId="0" fontId="0" fillId="35" borderId="10" xfId="0" applyFill="1" applyBorder="1" applyAlignment="1">
      <alignment vertical="center"/>
    </xf>
    <xf numFmtId="0" fontId="0" fillId="35" borderId="0" xfId="0" applyFill="1" applyAlignment="1">
      <alignment vertical="center"/>
    </xf>
    <xf numFmtId="0" fontId="3" fillId="35" borderId="0" xfId="0" applyFont="1" applyFill="1" applyAlignment="1">
      <alignment vertical="center"/>
    </xf>
    <xf numFmtId="3" fontId="5" fillId="35" borderId="0" xfId="0" applyNumberFormat="1" applyFont="1" applyFill="1" applyAlignment="1">
      <alignment vertical="center"/>
    </xf>
    <xf numFmtId="3" fontId="6" fillId="35" borderId="0" xfId="0" applyNumberFormat="1" applyFont="1" applyFill="1" applyAlignment="1">
      <alignment/>
    </xf>
    <xf numFmtId="176" fontId="10" fillId="34" borderId="10" xfId="42" applyNumberFormat="1" applyFont="1" applyFill="1" applyBorder="1" applyAlignment="1" quotePrefix="1">
      <alignment vertical="center" wrapText="1"/>
    </xf>
    <xf numFmtId="0" fontId="5" fillId="35" borderId="0" xfId="0" applyFont="1" applyFill="1" applyAlignment="1">
      <alignment horizontal="center" vertical="center"/>
    </xf>
    <xf numFmtId="0" fontId="5" fillId="35" borderId="0" xfId="0" applyFont="1" applyFill="1" applyAlignment="1">
      <alignment vertical="center"/>
    </xf>
    <xf numFmtId="0" fontId="5" fillId="35" borderId="10" xfId="0" applyFont="1" applyFill="1" applyBorder="1" applyAlignment="1">
      <alignment vertical="center" wrapText="1"/>
    </xf>
    <xf numFmtId="49" fontId="5" fillId="35" borderId="10" xfId="0" applyNumberFormat="1" applyFont="1" applyFill="1" applyBorder="1" applyAlignment="1">
      <alignment horizontal="center" vertical="center" wrapText="1"/>
    </xf>
    <xf numFmtId="49" fontId="5" fillId="35" borderId="10" xfId="0" applyNumberFormat="1" applyFont="1" applyFill="1" applyBorder="1" applyAlignment="1" quotePrefix="1">
      <alignment horizontal="center"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49" fontId="5" fillId="35" borderId="0" xfId="0" applyNumberFormat="1" applyFont="1" applyFill="1" applyAlignment="1">
      <alignment horizontal="center" vertical="center"/>
    </xf>
    <xf numFmtId="4" fontId="3" fillId="35" borderId="10" xfId="42" applyNumberFormat="1" applyFont="1" applyFill="1" applyBorder="1" applyAlignment="1">
      <alignment vertical="top" wrapText="1"/>
    </xf>
    <xf numFmtId="4" fontId="3" fillId="35" borderId="10" xfId="42" applyNumberFormat="1" applyFont="1" applyFill="1" applyBorder="1" applyAlignment="1">
      <alignment vertical="center" wrapText="1"/>
    </xf>
    <xf numFmtId="176" fontId="3" fillId="35" borderId="10" xfId="42" applyNumberFormat="1" applyFont="1" applyFill="1" applyBorder="1" applyAlignment="1" quotePrefix="1">
      <alignment vertical="center" wrapText="1"/>
    </xf>
    <xf numFmtId="0" fontId="9" fillId="35" borderId="10" xfId="0" applyFont="1" applyFill="1" applyBorder="1" applyAlignment="1">
      <alignment vertical="center" wrapText="1"/>
    </xf>
    <xf numFmtId="4" fontId="5" fillId="35" borderId="10" xfId="42" applyNumberFormat="1" applyFont="1" applyFill="1" applyBorder="1" applyAlignment="1">
      <alignment vertical="center" wrapText="1"/>
    </xf>
    <xf numFmtId="0" fontId="3" fillId="35" borderId="10" xfId="0" applyFont="1" applyFill="1" applyBorder="1" applyAlignment="1" quotePrefix="1">
      <alignment vertical="center" wrapText="1"/>
    </xf>
    <xf numFmtId="179" fontId="6" fillId="35" borderId="10" xfId="42" applyNumberFormat="1" applyFont="1" applyFill="1" applyBorder="1" applyAlignment="1">
      <alignment vertical="center" wrapText="1"/>
    </xf>
    <xf numFmtId="0" fontId="3" fillId="35" borderId="10" xfId="0" applyFont="1" applyFill="1" applyBorder="1" applyAlignment="1">
      <alignment vertical="center" wrapText="1"/>
    </xf>
    <xf numFmtId="176" fontId="5" fillId="35" borderId="10" xfId="42" applyNumberFormat="1" applyFont="1" applyFill="1" applyBorder="1" applyAlignment="1" quotePrefix="1">
      <alignment vertical="center" wrapText="1"/>
    </xf>
    <xf numFmtId="0" fontId="3" fillId="35" borderId="0" xfId="0" applyFont="1" applyFill="1" applyBorder="1" applyAlignment="1" quotePrefix="1">
      <alignment vertical="justify" wrapText="1"/>
    </xf>
    <xf numFmtId="0" fontId="9" fillId="35" borderId="0" xfId="0" applyFont="1" applyFill="1" applyAlignment="1">
      <alignment horizontal="center"/>
    </xf>
    <xf numFmtId="0" fontId="92" fillId="35" borderId="0" xfId="0" applyFont="1" applyFill="1" applyBorder="1" applyAlignment="1" quotePrefix="1">
      <alignment horizontal="left" vertical="justify" wrapText="1"/>
    </xf>
    <xf numFmtId="0" fontId="5" fillId="35" borderId="10" xfId="0" applyFont="1" applyFill="1" applyBorder="1" applyAlignment="1">
      <alignment horizontal="center" vertical="center" wrapText="1"/>
    </xf>
    <xf numFmtId="3" fontId="5" fillId="35" borderId="10" xfId="0" applyNumberFormat="1" applyFont="1" applyFill="1" applyBorder="1" applyAlignment="1">
      <alignment horizontal="center" vertical="center" wrapText="1"/>
    </xf>
    <xf numFmtId="3" fontId="5" fillId="35" borderId="10" xfId="0" applyNumberFormat="1" applyFont="1" applyFill="1" applyBorder="1" applyAlignment="1" quotePrefix="1">
      <alignment horizontal="center" vertical="center" wrapText="1"/>
    </xf>
    <xf numFmtId="3" fontId="3" fillId="35" borderId="10" xfId="42" applyNumberFormat="1" applyFont="1" applyFill="1" applyBorder="1" applyAlignment="1">
      <alignment vertical="top" wrapText="1"/>
    </xf>
    <xf numFmtId="3" fontId="3" fillId="35" borderId="10" xfId="42" applyNumberFormat="1" applyFont="1" applyFill="1" applyBorder="1" applyAlignment="1">
      <alignment vertical="center" wrapText="1"/>
    </xf>
    <xf numFmtId="3" fontId="5" fillId="35" borderId="10" xfId="42" applyNumberFormat="1" applyFont="1" applyFill="1" applyBorder="1" applyAlignment="1">
      <alignment vertical="center" wrapText="1"/>
    </xf>
    <xf numFmtId="4" fontId="3" fillId="35" borderId="0" xfId="0" applyNumberFormat="1" applyFont="1" applyFill="1" applyAlignment="1">
      <alignment/>
    </xf>
    <xf numFmtId="4" fontId="5" fillId="0" borderId="10" xfId="0" applyNumberFormat="1" applyFont="1" applyBorder="1" applyAlignment="1">
      <alignment horizontal="center" vertical="center" wrapText="1"/>
    </xf>
    <xf numFmtId="4" fontId="3" fillId="35" borderId="0" xfId="42" applyNumberFormat="1" applyFont="1" applyFill="1" applyBorder="1" applyAlignment="1">
      <alignment vertical="center" wrapText="1"/>
    </xf>
    <xf numFmtId="4" fontId="5" fillId="35" borderId="0" xfId="42" applyNumberFormat="1" applyFont="1" applyFill="1" applyBorder="1" applyAlignment="1">
      <alignment vertical="center" wrapText="1"/>
    </xf>
    <xf numFmtId="0" fontId="5" fillId="35" borderId="0" xfId="0" applyFont="1" applyFill="1" applyAlignment="1">
      <alignment/>
    </xf>
    <xf numFmtId="0" fontId="5" fillId="35" borderId="10" xfId="0" applyFont="1" applyFill="1" applyBorder="1" applyAlignment="1" quotePrefix="1">
      <alignment vertical="center" wrapText="1"/>
    </xf>
    <xf numFmtId="3" fontId="5" fillId="35" borderId="0" xfId="0" applyNumberFormat="1" applyFont="1" applyFill="1" applyAlignment="1">
      <alignment/>
    </xf>
    <xf numFmtId="4" fontId="3" fillId="35" borderId="10" xfId="42" applyNumberFormat="1" applyFont="1" applyFill="1" applyBorder="1" applyAlignment="1">
      <alignment vertical="center" wrapText="1"/>
    </xf>
    <xf numFmtId="3" fontId="3" fillId="35" borderId="10" xfId="42" applyNumberFormat="1" applyFont="1" applyFill="1" applyBorder="1" applyAlignment="1">
      <alignment vertical="center" wrapText="1"/>
    </xf>
    <xf numFmtId="4" fontId="3" fillId="35" borderId="10" xfId="42" applyNumberFormat="1" applyFont="1" applyFill="1" applyBorder="1" applyAlignment="1" quotePrefix="1">
      <alignment horizontal="center" vertical="center" wrapText="1"/>
    </xf>
    <xf numFmtId="49" fontId="5" fillId="35" borderId="10" xfId="0" applyNumberFormat="1" applyFont="1" applyFill="1" applyBorder="1" applyAlignment="1" quotePrefix="1">
      <alignment horizontal="center" vertical="center" wrapText="1"/>
    </xf>
    <xf numFmtId="4" fontId="5" fillId="35" borderId="10" xfId="42" applyNumberFormat="1" applyFont="1" applyFill="1" applyBorder="1" applyAlignment="1">
      <alignment vertical="center" wrapText="1"/>
    </xf>
    <xf numFmtId="4" fontId="5" fillId="35" borderId="0" xfId="0" applyNumberFormat="1" applyFont="1" applyFill="1" applyAlignment="1">
      <alignment vertical="center"/>
    </xf>
    <xf numFmtId="0" fontId="6" fillId="35" borderId="0" xfId="0" applyFont="1" applyFill="1" applyAlignment="1">
      <alignment horizontal="center" vertical="center"/>
    </xf>
    <xf numFmtId="3" fontId="6" fillId="35" borderId="0" xfId="0" applyNumberFormat="1" applyFont="1" applyFill="1" applyAlignment="1">
      <alignment vertical="center"/>
    </xf>
    <xf numFmtId="0" fontId="6" fillId="35" borderId="0" xfId="0" applyFont="1" applyFill="1" applyAlignment="1">
      <alignment vertical="center"/>
    </xf>
    <xf numFmtId="4" fontId="6" fillId="35" borderId="0" xfId="0" applyNumberFormat="1" applyFont="1" applyFill="1" applyAlignment="1">
      <alignment vertical="center"/>
    </xf>
    <xf numFmtId="0" fontId="6" fillId="35" borderId="0" xfId="0" applyFont="1" applyFill="1" applyAlignment="1">
      <alignment horizontal="right" vertical="center"/>
    </xf>
    <xf numFmtId="0" fontId="5" fillId="35" borderId="0" xfId="0" applyFont="1" applyFill="1" applyAlignment="1">
      <alignment vertical="center"/>
    </xf>
    <xf numFmtId="3" fontId="3" fillId="35" borderId="0" xfId="0" applyNumberFormat="1" applyFont="1" applyFill="1" applyAlignment="1">
      <alignment vertical="center"/>
    </xf>
    <xf numFmtId="4" fontId="3" fillId="35" borderId="0" xfId="0" applyNumberFormat="1" applyFont="1" applyFill="1" applyAlignment="1">
      <alignment vertical="center"/>
    </xf>
    <xf numFmtId="4" fontId="5" fillId="35" borderId="10" xfId="0" applyNumberFormat="1" applyFont="1" applyFill="1" applyBorder="1" applyAlignment="1">
      <alignment vertical="center" wrapText="1"/>
    </xf>
    <xf numFmtId="4" fontId="5" fillId="35" borderId="10" xfId="0" applyNumberFormat="1" applyFont="1" applyFill="1" applyBorder="1" applyAlignment="1">
      <alignment vertical="center" wrapText="1"/>
    </xf>
    <xf numFmtId="0" fontId="5" fillId="35" borderId="10" xfId="0" applyFont="1" applyFill="1" applyBorder="1" applyAlignment="1">
      <alignment horizontal="center" vertical="center" wrapText="1"/>
    </xf>
    <xf numFmtId="0" fontId="6" fillId="35" borderId="10" xfId="0" applyFont="1" applyFill="1" applyBorder="1" applyAlignment="1">
      <alignment horizontal="center" vertical="center" wrapText="1"/>
    </xf>
    <xf numFmtId="4" fontId="6" fillId="35" borderId="10" xfId="42" applyNumberFormat="1" applyFont="1" applyFill="1" applyBorder="1" applyAlignment="1">
      <alignment vertical="center" wrapText="1"/>
    </xf>
    <xf numFmtId="3" fontId="6" fillId="35" borderId="10" xfId="42" applyNumberFormat="1" applyFont="1" applyFill="1" applyBorder="1" applyAlignment="1">
      <alignment vertical="center" wrapText="1"/>
    </xf>
    <xf numFmtId="4" fontId="6" fillId="35" borderId="10" xfId="42" applyNumberFormat="1" applyFont="1" applyFill="1" applyBorder="1" applyAlignment="1">
      <alignment vertical="center" wrapText="1"/>
    </xf>
    <xf numFmtId="3" fontId="6" fillId="35" borderId="10" xfId="42" applyNumberFormat="1" applyFont="1" applyFill="1" applyBorder="1" applyAlignment="1">
      <alignment vertical="center" wrapText="1"/>
    </xf>
    <xf numFmtId="0" fontId="3" fillId="35" borderId="10" xfId="0" applyFont="1" applyFill="1" applyBorder="1" applyAlignment="1">
      <alignment horizontal="center" vertical="center" wrapText="1"/>
    </xf>
    <xf numFmtId="4" fontId="3" fillId="35" borderId="18" xfId="42" applyNumberFormat="1" applyFont="1" applyFill="1" applyBorder="1" applyAlignment="1">
      <alignment vertical="center" wrapText="1"/>
    </xf>
    <xf numFmtId="0" fontId="3" fillId="35" borderId="10" xfId="0" applyFont="1" applyFill="1" applyBorder="1" applyAlignment="1">
      <alignment horizontal="center" vertical="center"/>
    </xf>
    <xf numFmtId="4" fontId="92" fillId="35" borderId="0" xfId="0" applyNumberFormat="1" applyFont="1" applyFill="1" applyAlignment="1">
      <alignment vertical="center" wrapText="1"/>
    </xf>
    <xf numFmtId="0" fontId="92" fillId="35" borderId="0" xfId="0" applyFont="1" applyFill="1" applyBorder="1" applyAlignment="1" quotePrefix="1">
      <alignment horizontal="left" vertical="center" wrapText="1"/>
    </xf>
    <xf numFmtId="0" fontId="93" fillId="35" borderId="0" xfId="0" applyFont="1" applyFill="1" applyBorder="1" applyAlignment="1" quotePrefix="1">
      <alignment horizontal="left" vertical="center" wrapText="1"/>
    </xf>
    <xf numFmtId="3" fontId="3" fillId="35" borderId="0" xfId="0" applyNumberFormat="1" applyFont="1" applyFill="1" applyAlignment="1">
      <alignment horizontal="center" vertical="center" wrapText="1"/>
    </xf>
    <xf numFmtId="0" fontId="21" fillId="35" borderId="0" xfId="0" applyFont="1" applyFill="1" applyBorder="1" applyAlignment="1" quotePrefix="1">
      <alignment horizontal="left" vertical="center" wrapText="1"/>
    </xf>
    <xf numFmtId="0" fontId="3" fillId="35" borderId="0" xfId="0" applyFont="1" applyFill="1" applyBorder="1" applyAlignment="1" quotePrefix="1">
      <alignment horizontal="left" vertical="center" wrapText="1"/>
    </xf>
    <xf numFmtId="176" fontId="5" fillId="35" borderId="10" xfId="42" applyNumberFormat="1" applyFont="1" applyFill="1" applyBorder="1" applyAlignment="1" quotePrefix="1">
      <alignment vertical="center" wrapText="1"/>
    </xf>
    <xf numFmtId="3" fontId="5" fillId="35" borderId="10" xfId="42" applyNumberFormat="1" applyFont="1" applyFill="1" applyBorder="1" applyAlignment="1">
      <alignment vertical="center" wrapText="1"/>
    </xf>
    <xf numFmtId="183" fontId="3" fillId="35" borderId="10" xfId="42" applyNumberFormat="1" applyFont="1" applyFill="1" applyBorder="1" applyAlignment="1">
      <alignment vertical="top" wrapText="1"/>
    </xf>
    <xf numFmtId="0" fontId="5" fillId="35"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3" fontId="5" fillId="35" borderId="10" xfId="0" applyNumberFormat="1" applyFont="1" applyFill="1" applyBorder="1" applyAlignment="1">
      <alignment vertical="center" wrapText="1"/>
    </xf>
    <xf numFmtId="3" fontId="92" fillId="35" borderId="0" xfId="0" applyNumberFormat="1" applyFont="1" applyFill="1" applyBorder="1" applyAlignment="1" quotePrefix="1">
      <alignment horizontal="left" vertical="center" wrapText="1"/>
    </xf>
    <xf numFmtId="3" fontId="5" fillId="35" borderId="10" xfId="42" applyNumberFormat="1" applyFont="1" applyFill="1" applyBorder="1" applyAlignment="1">
      <alignment vertical="top" wrapText="1"/>
    </xf>
    <xf numFmtId="4" fontId="5" fillId="35" borderId="10" xfId="42" applyNumberFormat="1" applyFont="1" applyFill="1" applyBorder="1" applyAlignment="1">
      <alignment vertical="top" wrapText="1"/>
    </xf>
    <xf numFmtId="3" fontId="5" fillId="34" borderId="10" xfId="42" applyNumberFormat="1" applyFont="1" applyFill="1" applyBorder="1" applyAlignment="1">
      <alignment vertical="center" wrapText="1"/>
    </xf>
    <xf numFmtId="0" fontId="1" fillId="0" borderId="0" xfId="0" applyFont="1" applyAlignment="1">
      <alignment/>
    </xf>
    <xf numFmtId="176" fontId="6" fillId="35" borderId="10" xfId="42" applyNumberFormat="1" applyFont="1" applyFill="1" applyBorder="1" applyAlignment="1">
      <alignment vertical="center" wrapText="1"/>
    </xf>
    <xf numFmtId="3" fontId="6" fillId="35" borderId="10" xfId="42" applyNumberFormat="1" applyFont="1" applyFill="1" applyBorder="1" applyAlignment="1">
      <alignment vertical="top" wrapText="1"/>
    </xf>
    <xf numFmtId="4" fontId="6" fillId="35" borderId="10" xfId="42" applyNumberFormat="1" applyFont="1" applyFill="1" applyBorder="1" applyAlignment="1">
      <alignment vertical="top" wrapText="1"/>
    </xf>
    <xf numFmtId="183" fontId="6" fillId="35" borderId="10" xfId="42" applyNumberFormat="1" applyFont="1" applyFill="1" applyBorder="1" applyAlignment="1">
      <alignment vertical="top" wrapText="1"/>
    </xf>
    <xf numFmtId="0" fontId="5" fillId="35" borderId="10" xfId="0" applyFont="1" applyFill="1" applyBorder="1" applyAlignment="1">
      <alignment horizontal="center" vertical="center" wrapText="1"/>
    </xf>
    <xf numFmtId="0" fontId="84" fillId="34" borderId="10" xfId="0" applyFont="1" applyFill="1" applyBorder="1" applyAlignment="1">
      <alignment horizontal="center" vertical="center" wrapText="1"/>
    </xf>
    <xf numFmtId="0" fontId="84" fillId="34" borderId="10" xfId="0" applyFont="1" applyFill="1" applyBorder="1" applyAlignment="1">
      <alignment vertical="center" wrapText="1"/>
    </xf>
    <xf numFmtId="4" fontId="84" fillId="34" borderId="10" xfId="42" applyNumberFormat="1" applyFont="1" applyFill="1" applyBorder="1" applyAlignment="1">
      <alignment vertical="center" wrapText="1"/>
    </xf>
    <xf numFmtId="4" fontId="83" fillId="34" borderId="10" xfId="42" applyNumberFormat="1" applyFont="1" applyFill="1" applyBorder="1" applyAlignment="1">
      <alignment vertical="center" wrapText="1"/>
    </xf>
    <xf numFmtId="3" fontId="83" fillId="34" borderId="10" xfId="42" applyNumberFormat="1" applyFont="1" applyFill="1" applyBorder="1" applyAlignment="1">
      <alignment vertical="center" wrapText="1"/>
    </xf>
    <xf numFmtId="0" fontId="84" fillId="34" borderId="0" xfId="0" applyFont="1" applyFill="1" applyAlignment="1">
      <alignment/>
    </xf>
    <xf numFmtId="3" fontId="83" fillId="34" borderId="0" xfId="0" applyNumberFormat="1" applyFont="1" applyFill="1" applyAlignment="1">
      <alignment/>
    </xf>
    <xf numFmtId="0" fontId="3" fillId="34" borderId="10" xfId="0" applyFont="1" applyFill="1" applyBorder="1" applyAlignment="1">
      <alignment horizontal="center" vertical="center" wrapText="1"/>
    </xf>
    <xf numFmtId="0" fontId="3" fillId="34" borderId="10" xfId="0" applyFont="1" applyFill="1" applyBorder="1" applyAlignment="1">
      <alignment vertical="center" wrapText="1"/>
    </xf>
    <xf numFmtId="4" fontId="3" fillId="34" borderId="10" xfId="42" applyNumberFormat="1" applyFont="1" applyFill="1" applyBorder="1" applyAlignment="1">
      <alignment vertical="center" wrapText="1"/>
    </xf>
    <xf numFmtId="4" fontId="5" fillId="34" borderId="10" xfId="42" applyNumberFormat="1" applyFont="1" applyFill="1" applyBorder="1" applyAlignment="1">
      <alignment vertical="center" wrapText="1"/>
    </xf>
    <xf numFmtId="3" fontId="3" fillId="34" borderId="10" xfId="42" applyNumberFormat="1" applyFont="1" applyFill="1" applyBorder="1" applyAlignment="1">
      <alignment vertical="center" wrapText="1"/>
    </xf>
    <xf numFmtId="4" fontId="5" fillId="34" borderId="10" xfId="42" applyNumberFormat="1" applyFont="1" applyFill="1" applyBorder="1" applyAlignment="1">
      <alignment vertical="center" wrapText="1"/>
    </xf>
    <xf numFmtId="3" fontId="5" fillId="34" borderId="0" xfId="0" applyNumberFormat="1" applyFont="1" applyFill="1" applyAlignment="1">
      <alignment/>
    </xf>
    <xf numFmtId="3" fontId="84" fillId="34" borderId="10" xfId="42" applyNumberFormat="1" applyFont="1" applyFill="1" applyBorder="1" applyAlignment="1">
      <alignment vertical="center" wrapText="1"/>
    </xf>
    <xf numFmtId="0" fontId="5" fillId="35" borderId="10" xfId="0" applyFont="1" applyFill="1" applyBorder="1" applyAlignment="1">
      <alignment horizontal="center" vertical="center" wrapText="1"/>
    </xf>
    <xf numFmtId="0" fontId="94" fillId="0" borderId="10" xfId="0" applyFont="1" applyBorder="1" applyAlignment="1">
      <alignment horizontal="center" vertical="center"/>
    </xf>
    <xf numFmtId="43" fontId="94" fillId="0" borderId="10" xfId="42" applyFont="1" applyBorder="1" applyAlignment="1">
      <alignment horizontal="center" vertical="center"/>
    </xf>
    <xf numFmtId="43" fontId="94" fillId="0" borderId="10" xfId="42" applyFont="1" applyBorder="1" applyAlignment="1">
      <alignment horizontal="center" vertical="center" wrapText="1"/>
    </xf>
    <xf numFmtId="176" fontId="94" fillId="0" borderId="10" xfId="42" applyNumberFormat="1" applyFont="1" applyBorder="1" applyAlignment="1">
      <alignment horizontal="center" vertical="center" wrapText="1"/>
    </xf>
    <xf numFmtId="4" fontId="3" fillId="35" borderId="10" xfId="44" applyNumberFormat="1" applyFont="1" applyFill="1" applyBorder="1" applyAlignment="1">
      <alignment vertical="center" wrapText="1"/>
    </xf>
    <xf numFmtId="181" fontId="5" fillId="35" borderId="10" xfId="44" applyNumberFormat="1" applyFont="1" applyFill="1" applyBorder="1" applyAlignment="1">
      <alignment vertical="center" wrapText="1"/>
    </xf>
    <xf numFmtId="176" fontId="5" fillId="35" borderId="10" xfId="44" applyNumberFormat="1" applyFont="1" applyFill="1" applyBorder="1" applyAlignment="1">
      <alignment vertical="center" wrapText="1"/>
    </xf>
    <xf numFmtId="4" fontId="5" fillId="35" borderId="10" xfId="44" applyNumberFormat="1" applyFont="1" applyFill="1" applyBorder="1" applyAlignment="1">
      <alignment vertical="center" wrapText="1"/>
    </xf>
    <xf numFmtId="4" fontId="5" fillId="0" borderId="10" xfId="44" applyNumberFormat="1" applyFont="1" applyFill="1" applyBorder="1" applyAlignment="1">
      <alignment vertical="center" wrapText="1"/>
    </xf>
    <xf numFmtId="181" fontId="5" fillId="35" borderId="10" xfId="44" applyNumberFormat="1" applyFont="1" applyFill="1" applyBorder="1" applyAlignment="1">
      <alignment vertical="center" wrapText="1"/>
    </xf>
    <xf numFmtId="3" fontId="3" fillId="35" borderId="10" xfId="44" applyNumberFormat="1" applyFont="1" applyFill="1" applyBorder="1" applyAlignment="1">
      <alignment vertical="center" wrapText="1"/>
    </xf>
    <xf numFmtId="4" fontId="3" fillId="35" borderId="10" xfId="44" applyNumberFormat="1" applyFont="1" applyFill="1" applyBorder="1" applyAlignment="1">
      <alignment vertical="center" wrapText="1"/>
    </xf>
    <xf numFmtId="4" fontId="3" fillId="0" borderId="10" xfId="44" applyNumberFormat="1" applyFont="1" applyFill="1" applyBorder="1" applyAlignment="1">
      <alignment vertical="center" wrapText="1"/>
    </xf>
    <xf numFmtId="181" fontId="3" fillId="35" borderId="10" xfId="44" applyNumberFormat="1" applyFont="1" applyFill="1" applyBorder="1" applyAlignment="1">
      <alignment vertical="center" wrapText="1"/>
    </xf>
    <xf numFmtId="181" fontId="3" fillId="0" borderId="10" xfId="44" applyNumberFormat="1" applyFont="1" applyFill="1" applyBorder="1" applyAlignment="1">
      <alignment vertical="center" wrapText="1"/>
    </xf>
    <xf numFmtId="0" fontId="3" fillId="35" borderId="10" xfId="0" applyFont="1" applyFill="1" applyBorder="1" applyAlignment="1" quotePrefix="1">
      <alignment horizontal="left" vertical="center" wrapText="1"/>
    </xf>
    <xf numFmtId="181" fontId="3" fillId="35" borderId="10" xfId="44" applyNumberFormat="1" applyFont="1" applyFill="1" applyBorder="1" applyAlignment="1">
      <alignment vertical="center" wrapText="1"/>
    </xf>
    <xf numFmtId="43" fontId="5" fillId="35" borderId="10" xfId="44" applyNumberFormat="1" applyFont="1" applyFill="1" applyBorder="1" applyAlignment="1">
      <alignment vertical="center" wrapText="1"/>
    </xf>
    <xf numFmtId="43" fontId="5" fillId="0" borderId="10" xfId="44" applyNumberFormat="1" applyFont="1" applyFill="1" applyBorder="1" applyAlignment="1">
      <alignment vertical="center" wrapText="1"/>
    </xf>
    <xf numFmtId="4" fontId="9" fillId="35" borderId="0" xfId="0" applyNumberFormat="1" applyFont="1" applyFill="1" applyAlignment="1">
      <alignment horizontal="center"/>
    </xf>
    <xf numFmtId="4" fontId="5" fillId="35" borderId="0" xfId="0" applyNumberFormat="1" applyFont="1" applyFill="1" applyAlignment="1">
      <alignment horizontal="center" vertical="center"/>
    </xf>
    <xf numFmtId="4" fontId="6" fillId="35" borderId="0" xfId="0" applyNumberFormat="1" applyFont="1" applyFill="1" applyAlignment="1">
      <alignment horizontal="center" vertical="center"/>
    </xf>
    <xf numFmtId="4" fontId="5" fillId="0" borderId="10" xfId="0" applyNumberFormat="1" applyFont="1" applyFill="1" applyBorder="1" applyAlignment="1">
      <alignment horizontal="center" vertical="center" wrapText="1"/>
    </xf>
    <xf numFmtId="4" fontId="94" fillId="0" borderId="10" xfId="42" applyNumberFormat="1" applyFont="1" applyBorder="1" applyAlignment="1">
      <alignment horizontal="center" vertical="center"/>
    </xf>
    <xf numFmtId="4" fontId="94" fillId="0" borderId="10" xfId="42" applyNumberFormat="1" applyFont="1" applyBorder="1" applyAlignment="1">
      <alignment horizontal="center" vertical="center" wrapText="1"/>
    </xf>
    <xf numFmtId="4" fontId="94" fillId="0" borderId="10" xfId="42" applyNumberFormat="1" applyFont="1" applyFill="1" applyBorder="1" applyAlignment="1">
      <alignment horizontal="center" vertical="center"/>
    </xf>
    <xf numFmtId="4" fontId="92" fillId="35" borderId="0" xfId="0" applyNumberFormat="1" applyFont="1" applyFill="1" applyBorder="1" applyAlignment="1" quotePrefix="1">
      <alignment horizontal="left" vertical="center" wrapText="1"/>
    </xf>
    <xf numFmtId="176" fontId="3" fillId="35" borderId="10" xfId="42" applyNumberFormat="1" applyFont="1" applyFill="1" applyBorder="1" applyAlignment="1">
      <alignment vertical="center" wrapText="1"/>
    </xf>
    <xf numFmtId="3" fontId="3" fillId="35" borderId="10" xfId="44" applyNumberFormat="1" applyFont="1" applyFill="1" applyBorder="1" applyAlignment="1">
      <alignment vertical="center" wrapText="1"/>
    </xf>
    <xf numFmtId="43" fontId="3" fillId="35" borderId="10" xfId="44" applyFont="1" applyFill="1" applyBorder="1" applyAlignment="1">
      <alignment vertical="center" wrapText="1"/>
    </xf>
    <xf numFmtId="4" fontId="3" fillId="35" borderId="10" xfId="44" applyNumberFormat="1" applyFont="1" applyFill="1" applyBorder="1" applyAlignment="1">
      <alignment vertical="top" wrapText="1"/>
    </xf>
    <xf numFmtId="182" fontId="89" fillId="0" borderId="10" xfId="0" applyNumberFormat="1" applyFont="1" applyBorder="1" applyAlignment="1">
      <alignment/>
    </xf>
    <xf numFmtId="0" fontId="89" fillId="0" borderId="10" xfId="0" applyFont="1" applyBorder="1" applyAlignment="1">
      <alignment/>
    </xf>
    <xf numFmtId="4" fontId="89" fillId="0" borderId="10" xfId="0" applyNumberFormat="1" applyFont="1" applyBorder="1" applyAlignment="1">
      <alignment/>
    </xf>
    <xf numFmtId="3" fontId="3" fillId="35" borderId="10" xfId="44" applyNumberFormat="1" applyFont="1" applyFill="1" applyBorder="1" applyAlignment="1">
      <alignment horizontal="right" vertical="center" wrapText="1"/>
    </xf>
    <xf numFmtId="43" fontId="3" fillId="35" borderId="10" xfId="44" applyFont="1" applyFill="1" applyBorder="1" applyAlignment="1">
      <alignment horizontal="right" vertical="center" wrapText="1"/>
    </xf>
    <xf numFmtId="4" fontId="3" fillId="35" borderId="10" xfId="44" applyNumberFormat="1" applyFont="1" applyFill="1" applyBorder="1" applyAlignment="1">
      <alignment horizontal="right" vertical="center" wrapText="1"/>
    </xf>
    <xf numFmtId="4" fontId="3" fillId="35" borderId="10" xfId="44" applyNumberFormat="1" applyFont="1" applyFill="1" applyBorder="1" applyAlignment="1">
      <alignment horizontal="right" vertical="top" wrapText="1"/>
    </xf>
    <xf numFmtId="4" fontId="3" fillId="35" borderId="10" xfId="42" applyNumberFormat="1" applyFont="1" applyFill="1" applyBorder="1" applyAlignment="1">
      <alignment horizontal="right" vertical="center" wrapText="1"/>
    </xf>
    <xf numFmtId="0" fontId="84" fillId="35" borderId="10" xfId="0" applyFont="1" applyFill="1" applyBorder="1" applyAlignment="1">
      <alignment horizontal="center" vertical="center" wrapText="1"/>
    </xf>
    <xf numFmtId="0" fontId="84" fillId="35" borderId="10" xfId="0" applyFont="1" applyFill="1" applyBorder="1" applyAlignment="1">
      <alignment vertical="center" wrapText="1"/>
    </xf>
    <xf numFmtId="4" fontId="84" fillId="35" borderId="10" xfId="42" applyNumberFormat="1" applyFont="1" applyFill="1" applyBorder="1" applyAlignment="1">
      <alignment vertical="center" wrapText="1"/>
    </xf>
    <xf numFmtId="4" fontId="83" fillId="35" borderId="10" xfId="42" applyNumberFormat="1" applyFont="1" applyFill="1" applyBorder="1" applyAlignment="1">
      <alignment vertical="center" wrapText="1"/>
    </xf>
    <xf numFmtId="3" fontId="84" fillId="35" borderId="10" xfId="42" applyNumberFormat="1" applyFont="1" applyFill="1" applyBorder="1" applyAlignment="1">
      <alignment vertical="center" wrapText="1"/>
    </xf>
    <xf numFmtId="0" fontId="84" fillId="35" borderId="0" xfId="0" applyFont="1" applyFill="1" applyAlignment="1">
      <alignment/>
    </xf>
    <xf numFmtId="3" fontId="83" fillId="35" borderId="0" xfId="0" applyNumberFormat="1" applyFont="1" applyFill="1" applyAlignment="1">
      <alignment/>
    </xf>
    <xf numFmtId="0" fontId="83" fillId="35" borderId="10" xfId="0" applyFont="1" applyFill="1" applyBorder="1" applyAlignment="1">
      <alignment horizontal="center" vertical="center" wrapText="1"/>
    </xf>
    <xf numFmtId="176" fontId="83" fillId="35" borderId="10" xfId="42" applyNumberFormat="1" applyFont="1" applyFill="1" applyBorder="1" applyAlignment="1">
      <alignment vertical="center" wrapText="1"/>
    </xf>
    <xf numFmtId="3" fontId="83" fillId="35" borderId="10" xfId="42" applyNumberFormat="1" applyFont="1" applyFill="1" applyBorder="1" applyAlignment="1">
      <alignment vertical="center" wrapText="1"/>
    </xf>
    <xf numFmtId="0" fontId="83" fillId="35" borderId="0" xfId="0" applyFont="1" applyFill="1" applyAlignment="1">
      <alignment/>
    </xf>
    <xf numFmtId="176" fontId="84" fillId="35" borderId="10" xfId="42" applyNumberFormat="1" applyFont="1" applyFill="1" applyBorder="1" applyAlignment="1" quotePrefix="1">
      <alignment vertical="center" wrapText="1"/>
    </xf>
    <xf numFmtId="3" fontId="84" fillId="35" borderId="0" xfId="0" applyNumberFormat="1" applyFont="1" applyFill="1" applyAlignment="1">
      <alignment/>
    </xf>
    <xf numFmtId="0" fontId="83" fillId="35" borderId="11" xfId="0" applyFont="1" applyFill="1" applyBorder="1" applyAlignment="1">
      <alignment/>
    </xf>
    <xf numFmtId="3" fontId="83" fillId="35" borderId="11" xfId="0" applyNumberFormat="1" applyFont="1" applyFill="1" applyBorder="1" applyAlignment="1">
      <alignment/>
    </xf>
    <xf numFmtId="0" fontId="5" fillId="34" borderId="10" xfId="0" applyFont="1" applyFill="1" applyBorder="1" applyAlignment="1">
      <alignment horizontal="center" vertical="center" wrapText="1"/>
    </xf>
    <xf numFmtId="4" fontId="5" fillId="34" borderId="0" xfId="42" applyNumberFormat="1" applyFont="1" applyFill="1" applyBorder="1" applyAlignment="1">
      <alignment vertical="center" wrapText="1"/>
    </xf>
    <xf numFmtId="4" fontId="3" fillId="34" borderId="10" xfId="42" applyNumberFormat="1" applyFont="1" applyFill="1" applyBorder="1" applyAlignment="1">
      <alignment vertical="center" wrapText="1"/>
    </xf>
    <xf numFmtId="176" fontId="5" fillId="36" borderId="10" xfId="42" applyNumberFormat="1" applyFont="1" applyFill="1" applyBorder="1" applyAlignment="1">
      <alignment vertical="center"/>
    </xf>
    <xf numFmtId="0" fontId="5" fillId="35" borderId="10" xfId="0" applyFont="1" applyFill="1" applyBorder="1" applyAlignment="1">
      <alignment horizontal="center" vertical="center" wrapText="1"/>
    </xf>
    <xf numFmtId="0" fontId="3" fillId="0" borderId="0" xfId="0" applyFont="1" applyAlignment="1">
      <alignment horizontal="center" vertical="center"/>
    </xf>
    <xf numFmtId="0" fontId="1" fillId="0" borderId="0" xfId="0" applyFont="1" applyAlignment="1">
      <alignment vertical="center"/>
    </xf>
    <xf numFmtId="0" fontId="3" fillId="34" borderId="10" xfId="0" applyFont="1" applyFill="1" applyBorder="1" applyAlignment="1" quotePrefix="1">
      <alignment horizontal="left" vertical="center" wrapText="1"/>
    </xf>
    <xf numFmtId="3" fontId="3" fillId="34" borderId="10" xfId="0" applyNumberFormat="1" applyFont="1" applyFill="1" applyBorder="1" applyAlignment="1">
      <alignment vertical="center"/>
    </xf>
    <xf numFmtId="4" fontId="5" fillId="35" borderId="10" xfId="0" applyNumberFormat="1" applyFont="1" applyFill="1" applyBorder="1" applyAlignment="1" quotePrefix="1">
      <alignment horizontal="center" vertical="center" wrapText="1"/>
    </xf>
    <xf numFmtId="4" fontId="5" fillId="35" borderId="10" xfId="0" applyNumberFormat="1" applyFont="1" applyFill="1" applyBorder="1" applyAlignment="1" quotePrefix="1">
      <alignment horizontal="right" vertical="center" wrapText="1"/>
    </xf>
    <xf numFmtId="0" fontId="24" fillId="0" borderId="0" xfId="0" applyFont="1" applyAlignment="1">
      <alignment/>
    </xf>
    <xf numFmtId="49" fontId="5" fillId="35" borderId="10" xfId="0" applyNumberFormat="1" applyFont="1" applyFill="1" applyBorder="1" applyAlignment="1">
      <alignment horizontal="center" vertical="center"/>
    </xf>
    <xf numFmtId="0" fontId="5" fillId="35" borderId="10" xfId="0" applyFont="1" applyFill="1" applyBorder="1" applyAlignment="1">
      <alignment vertical="center"/>
    </xf>
    <xf numFmtId="0" fontId="5" fillId="35" borderId="10" xfId="0" applyFont="1" applyFill="1" applyBorder="1" applyAlignment="1">
      <alignment vertical="center"/>
    </xf>
    <xf numFmtId="0" fontId="3" fillId="35" borderId="10" xfId="0" applyFont="1" applyFill="1" applyBorder="1" applyAlignment="1">
      <alignment vertical="center"/>
    </xf>
    <xf numFmtId="0" fontId="3" fillId="34" borderId="10" xfId="0" applyFont="1" applyFill="1" applyBorder="1" applyAlignment="1">
      <alignment vertical="center"/>
    </xf>
    <xf numFmtId="0" fontId="6" fillId="35" borderId="10" xfId="0" applyFont="1" applyFill="1" applyBorder="1" applyAlignment="1">
      <alignment vertical="center"/>
    </xf>
    <xf numFmtId="0" fontId="83" fillId="35" borderId="10" xfId="0" applyFont="1" applyFill="1" applyBorder="1" applyAlignment="1">
      <alignment vertical="center"/>
    </xf>
    <xf numFmtId="0" fontId="5" fillId="34" borderId="10" xfId="0" applyFont="1" applyFill="1" applyBorder="1" applyAlignment="1">
      <alignment vertical="center"/>
    </xf>
    <xf numFmtId="0" fontId="3" fillId="35" borderId="10" xfId="0" applyFont="1" applyFill="1" applyBorder="1" applyAlignment="1">
      <alignment vertical="center"/>
    </xf>
    <xf numFmtId="0" fontId="84" fillId="35" borderId="10" xfId="0" applyFont="1" applyFill="1" applyBorder="1" applyAlignment="1">
      <alignment vertical="center"/>
    </xf>
    <xf numFmtId="0" fontId="84" fillId="34" borderId="10" xfId="0" applyFont="1" applyFill="1" applyBorder="1" applyAlignment="1">
      <alignment vertical="center"/>
    </xf>
    <xf numFmtId="4" fontId="89" fillId="0" borderId="10" xfId="0" applyNumberFormat="1" applyFont="1" applyBorder="1" applyAlignment="1">
      <alignment vertical="center"/>
    </xf>
    <xf numFmtId="0" fontId="5" fillId="35" borderId="10" xfId="0" applyFont="1" applyFill="1" applyBorder="1" applyAlignment="1">
      <alignment horizontal="center" vertical="center" wrapText="1"/>
    </xf>
    <xf numFmtId="4" fontId="5" fillId="35" borderId="10" xfId="0" applyNumberFormat="1" applyFont="1" applyFill="1" applyBorder="1" applyAlignment="1">
      <alignment horizontal="center" vertical="center" wrapText="1"/>
    </xf>
    <xf numFmtId="0" fontId="5" fillId="35" borderId="10" xfId="0" applyFont="1" applyFill="1" applyBorder="1" applyAlignment="1">
      <alignment horizontal="center" vertical="center" wrapText="1"/>
    </xf>
    <xf numFmtId="4" fontId="89" fillId="34" borderId="10" xfId="0" applyNumberFormat="1" applyFont="1" applyFill="1" applyBorder="1" applyAlignment="1">
      <alignment/>
    </xf>
    <xf numFmtId="43" fontId="25" fillId="0" borderId="19" xfId="42" applyFont="1" applyBorder="1" applyAlignment="1">
      <alignment horizontal="left" vertical="center"/>
    </xf>
    <xf numFmtId="0" fontId="26" fillId="0" borderId="0" xfId="0" applyFont="1" applyAlignment="1">
      <alignment/>
    </xf>
    <xf numFmtId="0" fontId="27" fillId="0" borderId="0" xfId="0" applyFont="1" applyAlignment="1">
      <alignment/>
    </xf>
    <xf numFmtId="0" fontId="95" fillId="0" borderId="0" xfId="0" applyFont="1" applyAlignment="1">
      <alignment/>
    </xf>
    <xf numFmtId="176" fontId="25" fillId="36" borderId="10" xfId="42" applyNumberFormat="1" applyFont="1" applyFill="1" applyBorder="1" applyAlignment="1">
      <alignment vertical="center"/>
    </xf>
    <xf numFmtId="176" fontId="21" fillId="36" borderId="10" xfId="42" applyNumberFormat="1" applyFont="1" applyFill="1" applyBorder="1" applyAlignment="1">
      <alignment vertical="center"/>
    </xf>
    <xf numFmtId="176" fontId="25" fillId="0" borderId="10" xfId="42" applyNumberFormat="1" applyFont="1" applyBorder="1" applyAlignment="1">
      <alignment horizontal="center" vertical="center"/>
    </xf>
    <xf numFmtId="0" fontId="95" fillId="0" borderId="0" xfId="0" applyFont="1" applyAlignment="1">
      <alignment horizontal="left" vertical="center" wrapText="1"/>
    </xf>
    <xf numFmtId="0" fontId="25" fillId="0" borderId="10" xfId="0" applyFont="1" applyBorder="1" applyAlignment="1">
      <alignment horizontal="center" vertical="center" wrapText="1"/>
    </xf>
    <xf numFmtId="0" fontId="25" fillId="0" borderId="10" xfId="0" applyFont="1" applyBorder="1" applyAlignment="1" quotePrefix="1">
      <alignment horizontal="center" vertical="center"/>
    </xf>
    <xf numFmtId="3" fontId="21" fillId="0" borderId="10" xfId="0" applyNumberFormat="1" applyFont="1" applyBorder="1" applyAlignment="1">
      <alignment vertical="center"/>
    </xf>
    <xf numFmtId="3" fontId="25" fillId="0" borderId="10" xfId="0" applyNumberFormat="1" applyFont="1" applyBorder="1" applyAlignment="1">
      <alignment vertical="center"/>
    </xf>
    <xf numFmtId="0" fontId="0" fillId="0" borderId="0" xfId="0" applyFont="1" applyAlignment="1">
      <alignment vertical="center"/>
    </xf>
    <xf numFmtId="0" fontId="0" fillId="0" borderId="0" xfId="0" applyAlignment="1">
      <alignment vertical="center"/>
    </xf>
    <xf numFmtId="0" fontId="25" fillId="35" borderId="10" xfId="0" applyFont="1" applyFill="1" applyBorder="1" applyAlignment="1">
      <alignment horizontal="center" vertical="center" wrapText="1"/>
    </xf>
    <xf numFmtId="0" fontId="25" fillId="35" borderId="10" xfId="0" applyFont="1" applyFill="1" applyBorder="1" applyAlignment="1">
      <alignment vertical="center" wrapText="1"/>
    </xf>
    <xf numFmtId="3" fontId="25" fillId="0" borderId="20" xfId="0" applyNumberFormat="1" applyFont="1" applyBorder="1" applyAlignment="1">
      <alignment vertical="center"/>
    </xf>
    <xf numFmtId="1" fontId="25" fillId="0" borderId="10" xfId="42" applyNumberFormat="1" applyFont="1" applyBorder="1" applyAlignment="1">
      <alignment horizontal="center" vertical="center"/>
    </xf>
    <xf numFmtId="0" fontId="96" fillId="0" borderId="0" xfId="0" applyFont="1" applyAlignment="1">
      <alignment/>
    </xf>
    <xf numFmtId="3" fontId="27" fillId="0" borderId="0" xfId="0" applyNumberFormat="1" applyFont="1" applyAlignment="1">
      <alignment/>
    </xf>
    <xf numFmtId="3" fontId="29" fillId="0" borderId="0" xfId="0" applyNumberFormat="1" applyFont="1" applyAlignment="1">
      <alignment vertical="center"/>
    </xf>
    <xf numFmtId="0" fontId="27" fillId="0" borderId="0" xfId="0" applyFont="1" applyAlignment="1">
      <alignment horizontal="center"/>
    </xf>
    <xf numFmtId="4" fontId="25" fillId="35" borderId="10" xfId="0" applyNumberFormat="1" applyFont="1" applyFill="1" applyBorder="1" applyAlignment="1">
      <alignment horizontal="center" vertical="center" wrapText="1"/>
    </xf>
    <xf numFmtId="3" fontId="25" fillId="35" borderId="10" xfId="42" applyNumberFormat="1" applyFont="1" applyFill="1" applyBorder="1" applyAlignment="1">
      <alignment horizontal="center" vertical="center" wrapText="1"/>
    </xf>
    <xf numFmtId="3" fontId="25" fillId="0" borderId="10" xfId="0" applyNumberFormat="1" applyFont="1" applyBorder="1" applyAlignment="1">
      <alignment horizontal="center" vertical="center" wrapText="1"/>
    </xf>
    <xf numFmtId="4" fontId="25" fillId="35" borderId="10" xfId="42" applyNumberFormat="1" applyFont="1" applyFill="1" applyBorder="1" applyAlignment="1">
      <alignment horizontal="center" vertical="center" wrapText="1"/>
    </xf>
    <xf numFmtId="0" fontId="25" fillId="0" borderId="10" xfId="0" applyFont="1" applyBorder="1" applyAlignment="1" quotePrefix="1">
      <alignment horizontal="center" vertical="center" wrapText="1"/>
    </xf>
    <xf numFmtId="3" fontId="25" fillId="0" borderId="10" xfId="0" applyNumberFormat="1" applyFont="1" applyBorder="1" applyAlignment="1" quotePrefix="1">
      <alignment horizontal="center" vertical="center"/>
    </xf>
    <xf numFmtId="3" fontId="25" fillId="0" borderId="10" xfId="0" applyNumberFormat="1" applyFont="1" applyBorder="1" applyAlignment="1" quotePrefix="1">
      <alignment horizontal="center" vertical="center" wrapText="1"/>
    </xf>
    <xf numFmtId="3" fontId="21" fillId="36" borderId="10" xfId="42" applyNumberFormat="1" applyFont="1" applyFill="1" applyBorder="1" applyAlignment="1">
      <alignment vertical="center"/>
    </xf>
    <xf numFmtId="3" fontId="25" fillId="36" borderId="10" xfId="42" applyNumberFormat="1" applyFont="1" applyFill="1" applyBorder="1" applyAlignment="1">
      <alignment vertical="center"/>
    </xf>
    <xf numFmtId="3" fontId="95" fillId="0" borderId="0" xfId="0" applyNumberFormat="1" applyFont="1" applyAlignment="1">
      <alignment/>
    </xf>
    <xf numFmtId="3" fontId="95" fillId="0" borderId="0" xfId="0" applyNumberFormat="1" applyFont="1" applyAlignment="1">
      <alignment horizontal="left" vertical="center" wrapText="1"/>
    </xf>
    <xf numFmtId="0" fontId="25" fillId="35" borderId="20" xfId="0" applyFont="1" applyFill="1" applyBorder="1" applyAlignment="1">
      <alignment horizontal="center" vertical="center" wrapText="1"/>
    </xf>
    <xf numFmtId="176" fontId="25" fillId="36" borderId="20" xfId="42" applyNumberFormat="1" applyFont="1" applyFill="1" applyBorder="1" applyAlignment="1">
      <alignment vertical="center"/>
    </xf>
    <xf numFmtId="0" fontId="25" fillId="35" borderId="20" xfId="0" applyFont="1" applyFill="1" applyBorder="1" applyAlignment="1">
      <alignment vertical="center" wrapText="1"/>
    </xf>
    <xf numFmtId="0" fontId="25" fillId="35" borderId="20" xfId="0" applyFont="1" applyFill="1" applyBorder="1" applyAlignment="1" quotePrefix="1">
      <alignment vertical="center" wrapText="1"/>
    </xf>
    <xf numFmtId="176" fontId="25" fillId="36" borderId="20" xfId="42" applyNumberFormat="1" applyFont="1" applyFill="1" applyBorder="1" applyAlignment="1">
      <alignment horizontal="center" vertical="center"/>
    </xf>
    <xf numFmtId="0" fontId="21" fillId="35" borderId="20" xfId="0" applyFont="1" applyFill="1" applyBorder="1" applyAlignment="1" quotePrefix="1">
      <alignment vertical="center" wrapText="1"/>
    </xf>
    <xf numFmtId="176" fontId="21" fillId="36" borderId="20" xfId="42" applyNumberFormat="1" applyFont="1" applyFill="1" applyBorder="1" applyAlignment="1">
      <alignment vertical="center"/>
    </xf>
    <xf numFmtId="3" fontId="21" fillId="0" borderId="20" xfId="0" applyNumberFormat="1" applyFont="1" applyBorder="1" applyAlignment="1">
      <alignment vertical="center"/>
    </xf>
    <xf numFmtId="0" fontId="21" fillId="35" borderId="20" xfId="0" applyFont="1" applyFill="1" applyBorder="1" applyAlignment="1">
      <alignment horizontal="center" vertical="center" wrapText="1"/>
    </xf>
    <xf numFmtId="0" fontId="21" fillId="35" borderId="20" xfId="0" applyFont="1" applyFill="1" applyBorder="1" applyAlignment="1">
      <alignment vertical="center" wrapText="1"/>
    </xf>
    <xf numFmtId="3" fontId="21" fillId="36" borderId="20" xfId="42" applyNumberFormat="1" applyFont="1" applyFill="1" applyBorder="1" applyAlignment="1">
      <alignment vertical="center"/>
    </xf>
    <xf numFmtId="176" fontId="21" fillId="35" borderId="20" xfId="42" applyNumberFormat="1" applyFont="1" applyFill="1" applyBorder="1" applyAlignment="1" quotePrefix="1">
      <alignment vertical="center" wrapText="1"/>
    </xf>
    <xf numFmtId="0" fontId="21" fillId="34" borderId="20" xfId="0" applyFont="1" applyFill="1" applyBorder="1" applyAlignment="1">
      <alignment vertical="center" wrapText="1"/>
    </xf>
    <xf numFmtId="176" fontId="21" fillId="34" borderId="20" xfId="42" applyNumberFormat="1" applyFont="1" applyFill="1" applyBorder="1" applyAlignment="1">
      <alignment vertical="center"/>
    </xf>
    <xf numFmtId="3" fontId="21" fillId="34" borderId="20" xfId="42" applyNumberFormat="1" applyFont="1" applyFill="1" applyBorder="1" applyAlignment="1">
      <alignment vertical="center"/>
    </xf>
    <xf numFmtId="3" fontId="21" fillId="34" borderId="20" xfId="0" applyNumberFormat="1" applyFont="1" applyFill="1" applyBorder="1" applyAlignment="1">
      <alignment vertical="center"/>
    </xf>
    <xf numFmtId="176" fontId="21" fillId="35" borderId="20" xfId="42" applyNumberFormat="1" applyFont="1" applyFill="1" applyBorder="1" applyAlignment="1">
      <alignment horizontal="right" vertical="center"/>
    </xf>
    <xf numFmtId="176" fontId="21" fillId="0" borderId="20" xfId="42" applyNumberFormat="1" applyFont="1" applyBorder="1" applyAlignment="1">
      <alignment horizontal="right" vertical="center"/>
    </xf>
    <xf numFmtId="176" fontId="21" fillId="36" borderId="20" xfId="44" applyNumberFormat="1" applyFont="1" applyFill="1" applyBorder="1" applyAlignment="1">
      <alignment vertical="center"/>
    </xf>
    <xf numFmtId="9" fontId="21" fillId="0" borderId="20" xfId="0" applyNumberFormat="1" applyFont="1" applyBorder="1" applyAlignment="1">
      <alignment horizontal="center" vertical="center"/>
    </xf>
    <xf numFmtId="179" fontId="28" fillId="35" borderId="20" xfId="42" applyNumberFormat="1" applyFont="1" applyFill="1" applyBorder="1" applyAlignment="1">
      <alignment vertical="center" wrapText="1"/>
    </xf>
    <xf numFmtId="179" fontId="21" fillId="35" borderId="20" xfId="42" applyNumberFormat="1" applyFont="1" applyFill="1" applyBorder="1" applyAlignment="1">
      <alignment vertical="center" wrapText="1"/>
    </xf>
    <xf numFmtId="176" fontId="25" fillId="35" borderId="20" xfId="42" applyNumberFormat="1" applyFont="1" applyFill="1" applyBorder="1" applyAlignment="1" quotePrefix="1">
      <alignment vertical="center" wrapText="1"/>
    </xf>
    <xf numFmtId="43" fontId="21" fillId="0" borderId="20" xfId="44" applyNumberFormat="1" applyFont="1" applyFill="1" applyBorder="1" applyAlignment="1">
      <alignment vertical="center"/>
    </xf>
    <xf numFmtId="4" fontId="21" fillId="0" borderId="20" xfId="58" applyNumberFormat="1" applyFont="1" applyBorder="1" applyAlignment="1">
      <alignment vertical="center"/>
      <protection/>
    </xf>
    <xf numFmtId="4" fontId="21" fillId="0" borderId="20" xfId="58" applyNumberFormat="1" applyFont="1" applyFill="1" applyBorder="1" applyAlignment="1">
      <alignment vertical="center"/>
      <protection/>
    </xf>
    <xf numFmtId="43" fontId="21" fillId="0" borderId="20" xfId="42" applyFont="1" applyBorder="1" applyAlignment="1">
      <alignment vertical="center"/>
    </xf>
    <xf numFmtId="3" fontId="21" fillId="35" borderId="20" xfId="42" applyNumberFormat="1" applyFont="1" applyFill="1" applyBorder="1" applyAlignment="1">
      <alignment vertical="center"/>
    </xf>
    <xf numFmtId="176" fontId="21" fillId="35" borderId="20" xfId="42" applyNumberFormat="1" applyFont="1" applyFill="1" applyBorder="1" applyAlignment="1">
      <alignment vertical="center"/>
    </xf>
    <xf numFmtId="176" fontId="25" fillId="35" borderId="20" xfId="42" applyNumberFormat="1" applyFont="1" applyFill="1" applyBorder="1" applyAlignment="1">
      <alignment vertical="center"/>
    </xf>
    <xf numFmtId="3" fontId="25" fillId="36" borderId="20" xfId="42" applyNumberFormat="1" applyFont="1" applyFill="1" applyBorder="1" applyAlignment="1">
      <alignment vertical="center"/>
    </xf>
    <xf numFmtId="176" fontId="25" fillId="35" borderId="20" xfId="42" applyNumberFormat="1" applyFont="1" applyFill="1" applyBorder="1" applyAlignment="1">
      <alignment vertical="center" wrapText="1"/>
    </xf>
    <xf numFmtId="176" fontId="21" fillId="36" borderId="20" xfId="44" applyNumberFormat="1" applyFont="1" applyFill="1" applyBorder="1" applyAlignment="1">
      <alignment vertical="center" wrapText="1"/>
    </xf>
    <xf numFmtId="43" fontId="21" fillId="36" borderId="20" xfId="44" applyNumberFormat="1" applyFont="1" applyFill="1" applyBorder="1" applyAlignment="1">
      <alignment vertical="center"/>
    </xf>
    <xf numFmtId="9" fontId="21" fillId="0" borderId="20" xfId="58" applyNumberFormat="1" applyFont="1" applyBorder="1" applyAlignment="1">
      <alignment horizontal="center" vertical="center"/>
      <protection/>
    </xf>
    <xf numFmtId="0" fontId="21" fillId="0" borderId="20" xfId="0" applyFont="1" applyBorder="1" applyAlignment="1">
      <alignment horizontal="left" vertical="center"/>
    </xf>
    <xf numFmtId="43" fontId="21" fillId="0" borderId="20" xfId="42" applyNumberFormat="1" applyFont="1" applyFill="1" applyBorder="1" applyAlignment="1">
      <alignment vertical="center"/>
    </xf>
    <xf numFmtId="4" fontId="21" fillId="0" borderId="20" xfId="0" applyNumberFormat="1" applyFont="1" applyBorder="1" applyAlignment="1">
      <alignment vertical="center"/>
    </xf>
    <xf numFmtId="43" fontId="21" fillId="0" borderId="20" xfId="42" applyFont="1" applyFill="1" applyBorder="1" applyAlignment="1">
      <alignment vertical="center"/>
    </xf>
    <xf numFmtId="4" fontId="21" fillId="0" borderId="20" xfId="0" applyNumberFormat="1" applyFont="1" applyFill="1" applyBorder="1" applyAlignment="1">
      <alignment vertical="center"/>
    </xf>
    <xf numFmtId="43" fontId="21" fillId="0" borderId="20" xfId="42" applyNumberFormat="1" applyFont="1" applyBorder="1" applyAlignment="1">
      <alignment vertical="center"/>
    </xf>
    <xf numFmtId="43" fontId="21" fillId="0" borderId="20" xfId="42" applyFont="1" applyFill="1" applyBorder="1" applyAlignment="1">
      <alignment horizontal="right" vertical="center"/>
    </xf>
    <xf numFmtId="43" fontId="21" fillId="0" borderId="20" xfId="42" applyFont="1" applyBorder="1" applyAlignment="1">
      <alignment horizontal="left" vertical="center"/>
    </xf>
    <xf numFmtId="176" fontId="21" fillId="0" borderId="20" xfId="42" applyNumberFormat="1" applyFont="1" applyBorder="1" applyAlignment="1">
      <alignment horizontal="left" vertical="center"/>
    </xf>
    <xf numFmtId="176" fontId="25" fillId="36" borderId="20" xfId="44" applyNumberFormat="1" applyFont="1" applyFill="1" applyBorder="1" applyAlignment="1">
      <alignment vertical="center"/>
    </xf>
    <xf numFmtId="1" fontId="28" fillId="0" borderId="21" xfId="42" applyNumberFormat="1" applyFont="1" applyBorder="1" applyAlignment="1">
      <alignment horizontal="center" vertical="center"/>
    </xf>
    <xf numFmtId="176" fontId="25" fillId="0" borderId="21" xfId="42" applyNumberFormat="1" applyFont="1" applyBorder="1" applyAlignment="1">
      <alignment horizontal="center" vertical="center"/>
    </xf>
    <xf numFmtId="3" fontId="25" fillId="0" borderId="21" xfId="42" applyNumberFormat="1" applyFont="1" applyBorder="1" applyAlignment="1">
      <alignment horizontal="center" vertical="center"/>
    </xf>
    <xf numFmtId="3" fontId="25" fillId="0" borderId="21" xfId="0" applyNumberFormat="1" applyFont="1" applyBorder="1" applyAlignment="1">
      <alignment vertical="center"/>
    </xf>
    <xf numFmtId="176" fontId="25" fillId="36" borderId="19" xfId="42" applyNumberFormat="1" applyFont="1" applyFill="1" applyBorder="1" applyAlignment="1">
      <alignment vertical="center"/>
    </xf>
    <xf numFmtId="0" fontId="25" fillId="35" borderId="22" xfId="0" applyFont="1" applyFill="1" applyBorder="1" applyAlignment="1">
      <alignment horizontal="center" vertical="center" wrapText="1"/>
    </xf>
    <xf numFmtId="176" fontId="25" fillId="36" borderId="22" xfId="42" applyNumberFormat="1" applyFont="1" applyFill="1" applyBorder="1" applyAlignment="1">
      <alignment vertical="center"/>
    </xf>
    <xf numFmtId="0" fontId="25" fillId="35" borderId="19" xfId="0" applyFont="1" applyFill="1" applyBorder="1" applyAlignment="1" quotePrefix="1">
      <alignment vertical="center" wrapText="1"/>
    </xf>
    <xf numFmtId="176" fontId="25" fillId="36" borderId="19" xfId="42" applyNumberFormat="1" applyFont="1" applyFill="1" applyBorder="1" applyAlignment="1">
      <alignment horizontal="center" vertical="center"/>
    </xf>
    <xf numFmtId="0" fontId="0" fillId="0" borderId="10" xfId="0" applyBorder="1" applyAlignment="1">
      <alignment/>
    </xf>
    <xf numFmtId="0" fontId="21" fillId="35" borderId="23" xfId="0" applyFont="1" applyFill="1" applyBorder="1" applyAlignment="1" quotePrefix="1">
      <alignment vertical="center" wrapText="1"/>
    </xf>
    <xf numFmtId="176" fontId="21" fillId="36" borderId="23" xfId="42" applyNumberFormat="1" applyFont="1" applyFill="1" applyBorder="1" applyAlignment="1">
      <alignment vertical="center"/>
    </xf>
    <xf numFmtId="3" fontId="21" fillId="36" borderId="23" xfId="42" applyNumberFormat="1" applyFont="1" applyFill="1" applyBorder="1" applyAlignment="1">
      <alignment vertical="center"/>
    </xf>
    <xf numFmtId="3" fontId="21" fillId="0" borderId="23" xfId="0" applyNumberFormat="1" applyFont="1" applyBorder="1" applyAlignment="1">
      <alignment vertical="center"/>
    </xf>
    <xf numFmtId="0" fontId="1" fillId="0" borderId="10" xfId="0" applyFont="1" applyBorder="1" applyAlignment="1">
      <alignment/>
    </xf>
    <xf numFmtId="0" fontId="25" fillId="0" borderId="10" xfId="0" applyFont="1" applyBorder="1" applyAlignment="1">
      <alignment horizontal="center" vertical="center"/>
    </xf>
    <xf numFmtId="0" fontId="1" fillId="0" borderId="10" xfId="0" applyFont="1" applyBorder="1" applyAlignment="1">
      <alignment vertical="center"/>
    </xf>
    <xf numFmtId="3" fontId="25" fillId="0" borderId="23" xfId="0" applyNumberFormat="1" applyFont="1" applyBorder="1" applyAlignment="1">
      <alignment vertical="center"/>
    </xf>
    <xf numFmtId="176" fontId="21" fillId="35" borderId="23" xfId="42" applyNumberFormat="1" applyFont="1" applyFill="1" applyBorder="1" applyAlignment="1">
      <alignment horizontal="right" vertical="center"/>
    </xf>
    <xf numFmtId="176" fontId="21" fillId="0" borderId="23" xfId="42" applyNumberFormat="1" applyFont="1" applyBorder="1" applyAlignment="1">
      <alignment horizontal="right" vertical="center"/>
    </xf>
    <xf numFmtId="0" fontId="21" fillId="35" borderId="19" xfId="0" applyFont="1" applyFill="1" applyBorder="1" applyAlignment="1" quotePrefix="1">
      <alignment horizontal="left" vertical="center" wrapText="1"/>
    </xf>
    <xf numFmtId="176" fontId="21" fillId="36" borderId="19" xfId="42" applyNumberFormat="1" applyFont="1" applyFill="1" applyBorder="1" applyAlignment="1">
      <alignment vertical="center"/>
    </xf>
    <xf numFmtId="176" fontId="21" fillId="36" borderId="19" xfId="44" applyNumberFormat="1" applyFont="1" applyFill="1" applyBorder="1" applyAlignment="1">
      <alignment vertical="center"/>
    </xf>
    <xf numFmtId="3" fontId="21" fillId="0" borderId="19" xfId="0" applyNumberFormat="1" applyFont="1" applyBorder="1" applyAlignment="1">
      <alignment vertical="center"/>
    </xf>
    <xf numFmtId="9" fontId="21" fillId="0" borderId="19" xfId="0" applyNumberFormat="1" applyFont="1" applyBorder="1" applyAlignment="1">
      <alignment horizontal="center" vertical="center"/>
    </xf>
    <xf numFmtId="0" fontId="21" fillId="34" borderId="23" xfId="0" applyFont="1" applyFill="1" applyBorder="1" applyAlignment="1" quotePrefix="1">
      <alignment horizontal="left" vertical="center" wrapText="1"/>
    </xf>
    <xf numFmtId="176" fontId="21" fillId="34" borderId="23" xfId="42" applyNumberFormat="1" applyFont="1" applyFill="1" applyBorder="1" applyAlignment="1">
      <alignment vertical="center"/>
    </xf>
    <xf numFmtId="3" fontId="21" fillId="34" borderId="23" xfId="42" applyNumberFormat="1" applyFont="1" applyFill="1" applyBorder="1" applyAlignment="1">
      <alignment vertical="center"/>
    </xf>
    <xf numFmtId="3" fontId="21" fillId="34" borderId="23" xfId="0" applyNumberFormat="1" applyFont="1" applyFill="1" applyBorder="1" applyAlignment="1">
      <alignment vertical="center"/>
    </xf>
    <xf numFmtId="0" fontId="21" fillId="35" borderId="19" xfId="0" applyFont="1" applyFill="1" applyBorder="1" applyAlignment="1">
      <alignment vertical="center" wrapText="1"/>
    </xf>
    <xf numFmtId="3" fontId="21" fillId="36" borderId="19" xfId="42" applyNumberFormat="1" applyFont="1" applyFill="1" applyBorder="1" applyAlignment="1">
      <alignment vertical="center"/>
    </xf>
    <xf numFmtId="176" fontId="21" fillId="36" borderId="19" xfId="42" applyNumberFormat="1" applyFont="1" applyFill="1" applyBorder="1" applyAlignment="1">
      <alignment horizontal="center" vertical="center"/>
    </xf>
    <xf numFmtId="0" fontId="21" fillId="35" borderId="23" xfId="0" applyFont="1" applyFill="1" applyBorder="1" applyAlignment="1">
      <alignment vertical="center" wrapText="1"/>
    </xf>
    <xf numFmtId="0" fontId="21" fillId="35" borderId="22" xfId="0" applyFont="1" applyFill="1" applyBorder="1" applyAlignment="1" quotePrefix="1">
      <alignment vertical="center" wrapText="1"/>
    </xf>
    <xf numFmtId="176" fontId="21" fillId="36" borderId="22" xfId="42" applyNumberFormat="1" applyFont="1" applyFill="1" applyBorder="1" applyAlignment="1">
      <alignment vertical="center"/>
    </xf>
    <xf numFmtId="3" fontId="21" fillId="36" borderId="22" xfId="42" applyNumberFormat="1" applyFont="1" applyFill="1" applyBorder="1" applyAlignment="1">
      <alignment vertical="center"/>
    </xf>
    <xf numFmtId="3" fontId="21" fillId="0" borderId="22" xfId="0" applyNumberFormat="1" applyFont="1" applyBorder="1" applyAlignment="1">
      <alignment vertical="center"/>
    </xf>
    <xf numFmtId="176" fontId="25" fillId="35" borderId="19" xfId="42" applyNumberFormat="1" applyFont="1" applyFill="1" applyBorder="1" applyAlignment="1" quotePrefix="1">
      <alignment vertical="center" wrapText="1"/>
    </xf>
    <xf numFmtId="176" fontId="21" fillId="35" borderId="23" xfId="42" applyNumberFormat="1" applyFont="1" applyFill="1" applyBorder="1" applyAlignment="1" quotePrefix="1">
      <alignment vertical="center" wrapText="1"/>
    </xf>
    <xf numFmtId="176" fontId="25" fillId="35" borderId="19" xfId="42" applyNumberFormat="1" applyFont="1" applyFill="1" applyBorder="1" applyAlignment="1">
      <alignment vertical="center" wrapText="1"/>
    </xf>
    <xf numFmtId="3" fontId="25" fillId="36" borderId="19" xfId="42" applyNumberFormat="1" applyFont="1" applyFill="1" applyBorder="1" applyAlignment="1">
      <alignment vertical="center"/>
    </xf>
    <xf numFmtId="3" fontId="25" fillId="0" borderId="19" xfId="0" applyNumberFormat="1" applyFont="1" applyBorder="1" applyAlignment="1">
      <alignment vertical="center"/>
    </xf>
    <xf numFmtId="0" fontId="97" fillId="0" borderId="0" xfId="0" applyFont="1" applyAlignment="1">
      <alignment/>
    </xf>
    <xf numFmtId="0" fontId="98" fillId="0" borderId="10" xfId="0" applyFont="1" applyBorder="1" applyAlignment="1">
      <alignment horizontal="center" vertical="center" wrapText="1"/>
    </xf>
    <xf numFmtId="0" fontId="98" fillId="0" borderId="10" xfId="0" applyFont="1" applyBorder="1" applyAlignment="1" quotePrefix="1">
      <alignment horizontal="center" vertical="center"/>
    </xf>
    <xf numFmtId="176" fontId="98" fillId="36" borderId="22" xfId="42" applyNumberFormat="1" applyFont="1" applyFill="1" applyBorder="1" applyAlignment="1">
      <alignment vertical="center"/>
    </xf>
    <xf numFmtId="176" fontId="98" fillId="36" borderId="10" xfId="42" applyNumberFormat="1" applyFont="1" applyFill="1" applyBorder="1" applyAlignment="1">
      <alignment vertical="center"/>
    </xf>
    <xf numFmtId="176" fontId="98" fillId="36" borderId="19" xfId="42" applyNumberFormat="1" applyFont="1" applyFill="1" applyBorder="1" applyAlignment="1">
      <alignment vertical="center"/>
    </xf>
    <xf numFmtId="176" fontId="98" fillId="36" borderId="20" xfId="42" applyNumberFormat="1" applyFont="1" applyFill="1" applyBorder="1" applyAlignment="1">
      <alignment vertical="center"/>
    </xf>
    <xf numFmtId="3" fontId="99" fillId="0" borderId="20" xfId="0" applyNumberFormat="1" applyFont="1" applyBorder="1" applyAlignment="1">
      <alignment vertical="center"/>
    </xf>
    <xf numFmtId="3" fontId="99" fillId="0" borderId="23" xfId="0" applyNumberFormat="1" applyFont="1" applyBorder="1" applyAlignment="1">
      <alignment vertical="center"/>
    </xf>
    <xf numFmtId="3" fontId="98" fillId="0" borderId="20" xfId="0" applyNumberFormat="1" applyFont="1" applyBorder="1" applyAlignment="1">
      <alignment vertical="center"/>
    </xf>
    <xf numFmtId="3" fontId="98" fillId="0" borderId="23" xfId="0" applyNumberFormat="1" applyFont="1" applyBorder="1" applyAlignment="1">
      <alignment vertical="center"/>
    </xf>
    <xf numFmtId="3" fontId="99" fillId="0" borderId="19" xfId="0" applyNumberFormat="1" applyFont="1" applyBorder="1" applyAlignment="1">
      <alignment vertical="center"/>
    </xf>
    <xf numFmtId="3" fontId="99" fillId="34" borderId="23" xfId="0" applyNumberFormat="1" applyFont="1" applyFill="1" applyBorder="1" applyAlignment="1">
      <alignment vertical="center"/>
    </xf>
    <xf numFmtId="176" fontId="99" fillId="36" borderId="19" xfId="42" applyNumberFormat="1" applyFont="1" applyFill="1" applyBorder="1" applyAlignment="1">
      <alignment vertical="center"/>
    </xf>
    <xf numFmtId="3" fontId="98" fillId="0" borderId="10" xfId="0" applyNumberFormat="1" applyFont="1" applyBorder="1" applyAlignment="1">
      <alignment vertical="center"/>
    </xf>
    <xf numFmtId="3" fontId="99" fillId="0" borderId="10" xfId="0" applyNumberFormat="1" applyFont="1" applyBorder="1" applyAlignment="1">
      <alignment vertical="center"/>
    </xf>
    <xf numFmtId="3" fontId="99" fillId="0" borderId="22" xfId="0" applyNumberFormat="1" applyFont="1" applyBorder="1" applyAlignment="1">
      <alignment vertical="center"/>
    </xf>
    <xf numFmtId="43" fontId="99" fillId="0" borderId="20" xfId="42" applyFont="1" applyBorder="1" applyAlignment="1">
      <alignment vertical="center"/>
    </xf>
    <xf numFmtId="3" fontId="98" fillId="0" borderId="19" xfId="0" applyNumberFormat="1" applyFont="1" applyBorder="1" applyAlignment="1">
      <alignment vertical="center"/>
    </xf>
    <xf numFmtId="43" fontId="99" fillId="0" borderId="20" xfId="42" applyFont="1" applyFill="1" applyBorder="1" applyAlignment="1">
      <alignment vertical="center"/>
    </xf>
    <xf numFmtId="176" fontId="99" fillId="0" borderId="20" xfId="42" applyNumberFormat="1" applyFont="1" applyBorder="1" applyAlignment="1">
      <alignment horizontal="right" vertical="center"/>
    </xf>
    <xf numFmtId="3" fontId="98" fillId="0" borderId="21" xfId="0" applyNumberFormat="1" applyFont="1" applyBorder="1" applyAlignment="1">
      <alignment vertical="center"/>
    </xf>
    <xf numFmtId="0" fontId="25" fillId="35" borderId="19" xfId="0" applyFont="1" applyFill="1" applyBorder="1" applyAlignment="1">
      <alignment horizontal="center" vertical="center" wrapText="1"/>
    </xf>
    <xf numFmtId="9" fontId="21" fillId="0" borderId="20" xfId="42" applyNumberFormat="1" applyFont="1" applyBorder="1" applyAlignment="1">
      <alignment horizontal="center" vertical="center"/>
    </xf>
    <xf numFmtId="9" fontId="21" fillId="0" borderId="23" xfId="42" applyNumberFormat="1" applyFont="1" applyBorder="1" applyAlignment="1">
      <alignment horizontal="center" vertical="center"/>
    </xf>
    <xf numFmtId="176" fontId="25" fillId="36" borderId="10" xfId="42" applyNumberFormat="1" applyFont="1" applyFill="1" applyBorder="1" applyAlignment="1">
      <alignment horizontal="center" vertical="center"/>
    </xf>
    <xf numFmtId="0" fontId="27" fillId="0" borderId="0" xfId="0" applyFont="1" applyAlignment="1">
      <alignment vertical="center"/>
    </xf>
    <xf numFmtId="3" fontId="27" fillId="0" borderId="0" xfId="0" applyNumberFormat="1" applyFont="1" applyAlignment="1">
      <alignment vertical="center"/>
    </xf>
    <xf numFmtId="0" fontId="97" fillId="0" borderId="0" xfId="0" applyFont="1" applyAlignment="1">
      <alignment vertical="center"/>
    </xf>
    <xf numFmtId="0" fontId="27" fillId="0" borderId="0" xfId="0" applyFont="1" applyAlignment="1">
      <alignment horizontal="center" vertical="center"/>
    </xf>
    <xf numFmtId="0" fontId="21" fillId="0" borderId="0" xfId="0" applyFont="1" applyAlignment="1">
      <alignment vertical="center"/>
    </xf>
    <xf numFmtId="3" fontId="21" fillId="0" borderId="0" xfId="0" applyNumberFormat="1" applyFont="1" applyAlignment="1">
      <alignment vertical="center"/>
    </xf>
    <xf numFmtId="0" fontId="21" fillId="0" borderId="0" xfId="0" applyFont="1" applyBorder="1" applyAlignment="1">
      <alignment vertical="center"/>
    </xf>
    <xf numFmtId="0" fontId="99" fillId="0" borderId="0" xfId="0" applyFont="1" applyBorder="1" applyAlignment="1">
      <alignment vertical="center"/>
    </xf>
    <xf numFmtId="0" fontId="25" fillId="0" borderId="22" xfId="0" applyFont="1" applyBorder="1" applyAlignment="1">
      <alignment horizontal="center" vertical="center"/>
    </xf>
    <xf numFmtId="0" fontId="21" fillId="0" borderId="10" xfId="0" applyFont="1" applyBorder="1" applyAlignment="1">
      <alignment horizontal="center" vertical="center"/>
    </xf>
    <xf numFmtId="0" fontId="0" fillId="0" borderId="10" xfId="0" applyFont="1" applyBorder="1" applyAlignment="1">
      <alignment vertical="center"/>
    </xf>
    <xf numFmtId="3" fontId="21" fillId="0" borderId="20" xfId="0" applyNumberFormat="1" applyFont="1" applyFill="1" applyBorder="1" applyAlignment="1">
      <alignment vertical="center"/>
    </xf>
    <xf numFmtId="9" fontId="21" fillId="0" borderId="20" xfId="62" applyFont="1" applyBorder="1" applyAlignment="1">
      <alignment horizontal="center" vertical="center"/>
    </xf>
    <xf numFmtId="3" fontId="3" fillId="0" borderId="20" xfId="0" applyNumberFormat="1" applyFont="1" applyBorder="1" applyAlignment="1">
      <alignment vertical="center"/>
    </xf>
    <xf numFmtId="4" fontId="3" fillId="0" borderId="20" xfId="0" applyNumberFormat="1" applyFont="1" applyFill="1" applyBorder="1" applyAlignment="1">
      <alignment vertical="center"/>
    </xf>
    <xf numFmtId="9" fontId="21" fillId="0" borderId="20" xfId="62" applyFont="1" applyFill="1" applyBorder="1" applyAlignment="1">
      <alignment horizontal="center" vertical="center"/>
    </xf>
    <xf numFmtId="4" fontId="3" fillId="0" borderId="0" xfId="0" applyNumberFormat="1" applyFont="1" applyFill="1" applyBorder="1" applyAlignment="1">
      <alignment vertical="center"/>
    </xf>
    <xf numFmtId="0" fontId="21" fillId="0" borderId="20" xfId="0" applyFont="1" applyBorder="1" applyAlignment="1">
      <alignment horizontal="center" vertical="center"/>
    </xf>
    <xf numFmtId="0" fontId="27" fillId="0" borderId="20" xfId="0" applyFont="1" applyBorder="1" applyAlignment="1">
      <alignment vertical="center"/>
    </xf>
    <xf numFmtId="0" fontId="21" fillId="34" borderId="20" xfId="0" applyFont="1" applyFill="1" applyBorder="1" applyAlignment="1">
      <alignment horizontal="center" vertical="center" wrapText="1"/>
    </xf>
    <xf numFmtId="0" fontId="21" fillId="34" borderId="20" xfId="0" applyFont="1" applyFill="1" applyBorder="1" applyAlignment="1">
      <alignment horizontal="center" vertical="center"/>
    </xf>
    <xf numFmtId="0" fontId="0" fillId="34" borderId="0" xfId="0" applyFont="1" applyFill="1" applyAlignment="1">
      <alignment vertical="center"/>
    </xf>
    <xf numFmtId="0" fontId="21" fillId="35" borderId="23" xfId="0" applyFont="1" applyFill="1" applyBorder="1" applyAlignment="1">
      <alignment horizontal="center" vertical="center" wrapText="1"/>
    </xf>
    <xf numFmtId="9" fontId="21" fillId="0" borderId="23" xfId="0" applyNumberFormat="1" applyFont="1" applyBorder="1" applyAlignment="1">
      <alignment horizontal="center" vertical="center"/>
    </xf>
    <xf numFmtId="0" fontId="25" fillId="0" borderId="19" xfId="0" applyFont="1" applyBorder="1" applyAlignment="1">
      <alignment horizontal="center" vertical="center"/>
    </xf>
    <xf numFmtId="176" fontId="21" fillId="0" borderId="20" xfId="42" applyNumberFormat="1" applyFont="1" applyBorder="1" applyAlignment="1">
      <alignment vertical="center"/>
    </xf>
    <xf numFmtId="176" fontId="25" fillId="0" borderId="20" xfId="42" applyNumberFormat="1" applyFont="1" applyBorder="1" applyAlignment="1">
      <alignment horizontal="center" vertical="center"/>
    </xf>
    <xf numFmtId="43" fontId="25" fillId="0" borderId="20" xfId="42" applyFont="1" applyBorder="1" applyAlignment="1">
      <alignment vertical="center"/>
    </xf>
    <xf numFmtId="9" fontId="25" fillId="0" borderId="20" xfId="42" applyNumberFormat="1" applyFont="1" applyBorder="1" applyAlignment="1">
      <alignment horizontal="center" vertical="center"/>
    </xf>
    <xf numFmtId="176" fontId="25" fillId="0" borderId="20" xfId="42" applyNumberFormat="1" applyFont="1" applyBorder="1" applyAlignment="1">
      <alignment vertical="center"/>
    </xf>
    <xf numFmtId="0" fontId="25" fillId="35" borderId="23" xfId="0" applyFont="1" applyFill="1" applyBorder="1" applyAlignment="1">
      <alignment horizontal="center" vertical="center" wrapText="1"/>
    </xf>
    <xf numFmtId="43" fontId="21" fillId="0" borderId="23" xfId="42" applyFont="1" applyBorder="1" applyAlignment="1">
      <alignment vertical="center"/>
    </xf>
    <xf numFmtId="176" fontId="21" fillId="0" borderId="23" xfId="42" applyNumberFormat="1" applyFont="1" applyBorder="1" applyAlignment="1">
      <alignment vertical="center"/>
    </xf>
    <xf numFmtId="0" fontId="25" fillId="34" borderId="23" xfId="0" applyFont="1" applyFill="1" applyBorder="1" applyAlignment="1">
      <alignment horizontal="center" vertical="center" wrapText="1"/>
    </xf>
    <xf numFmtId="0" fontId="21" fillId="34" borderId="23" xfId="0" applyFont="1" applyFill="1" applyBorder="1" applyAlignment="1">
      <alignment horizontal="center" vertical="center"/>
    </xf>
    <xf numFmtId="0" fontId="21" fillId="35" borderId="19" xfId="0" applyFont="1" applyFill="1" applyBorder="1" applyAlignment="1">
      <alignment horizontal="center" vertical="center" wrapText="1"/>
    </xf>
    <xf numFmtId="0" fontId="28" fillId="35" borderId="20" xfId="0" applyFont="1" applyFill="1" applyBorder="1" applyAlignment="1">
      <alignment horizontal="center" vertical="center" wrapText="1"/>
    </xf>
    <xf numFmtId="0" fontId="21" fillId="0" borderId="23" xfId="0" applyFont="1" applyBorder="1" applyAlignment="1">
      <alignment horizontal="center" vertical="center"/>
    </xf>
    <xf numFmtId="0" fontId="21" fillId="35" borderId="22" xfId="0" applyFont="1" applyFill="1" applyBorder="1" applyAlignment="1">
      <alignment horizontal="center" vertical="center" wrapText="1"/>
    </xf>
    <xf numFmtId="9" fontId="21" fillId="0" borderId="22" xfId="0" applyNumberFormat="1" applyFont="1" applyBorder="1" applyAlignment="1">
      <alignment horizontal="center" vertical="center"/>
    </xf>
    <xf numFmtId="0" fontId="25" fillId="0" borderId="20" xfId="0" applyFont="1" applyBorder="1" applyAlignment="1">
      <alignment horizontal="center" vertical="center"/>
    </xf>
    <xf numFmtId="9" fontId="25" fillId="0" borderId="20" xfId="0" applyNumberFormat="1" applyFont="1" applyBorder="1" applyAlignment="1">
      <alignment horizontal="center" vertical="center"/>
    </xf>
    <xf numFmtId="9" fontId="25" fillId="0" borderId="19" xfId="0" applyNumberFormat="1" applyFont="1" applyBorder="1" applyAlignment="1">
      <alignment horizontal="center" vertical="center"/>
    </xf>
    <xf numFmtId="0" fontId="21" fillId="35" borderId="20" xfId="0" applyFont="1" applyFill="1" applyBorder="1" applyAlignment="1" quotePrefix="1">
      <alignment horizontal="center" vertical="center" wrapText="1"/>
    </xf>
    <xf numFmtId="0" fontId="25" fillId="34" borderId="20" xfId="0" applyFont="1" applyFill="1" applyBorder="1" applyAlignment="1">
      <alignment horizontal="center" vertical="center"/>
    </xf>
    <xf numFmtId="0" fontId="25" fillId="35" borderId="20" xfId="0" applyFont="1" applyFill="1" applyBorder="1" applyAlignment="1" quotePrefix="1">
      <alignment horizontal="center" vertical="center" wrapText="1"/>
    </xf>
    <xf numFmtId="3" fontId="21" fillId="0" borderId="21" xfId="0" applyNumberFormat="1" applyFont="1" applyBorder="1" applyAlignment="1">
      <alignment vertical="center"/>
    </xf>
    <xf numFmtId="0" fontId="21" fillId="0" borderId="21" xfId="0" applyFont="1" applyBorder="1" applyAlignment="1">
      <alignment horizontal="center" vertical="center"/>
    </xf>
    <xf numFmtId="0" fontId="15" fillId="0" borderId="0" xfId="0" applyFont="1" applyFill="1" applyAlignment="1">
      <alignment horizontal="center" vertical="top" wrapText="1"/>
    </xf>
    <xf numFmtId="0" fontId="5" fillId="0" borderId="18" xfId="0" applyFont="1" applyFill="1" applyBorder="1" applyAlignment="1">
      <alignment horizontal="center" wrapText="1"/>
    </xf>
    <xf numFmtId="0" fontId="5" fillId="0" borderId="22" xfId="0" applyFont="1" applyFill="1" applyBorder="1" applyAlignment="1">
      <alignment horizontal="center" wrapText="1"/>
    </xf>
    <xf numFmtId="0" fontId="5" fillId="0" borderId="15" xfId="0" applyFont="1" applyFill="1" applyBorder="1" applyAlignment="1">
      <alignment horizontal="center" wrapText="1"/>
    </xf>
    <xf numFmtId="0" fontId="5" fillId="0" borderId="10" xfId="0" applyFont="1" applyFill="1" applyBorder="1" applyAlignment="1">
      <alignment horizontal="center" vertical="center" wrapText="1"/>
    </xf>
    <xf numFmtId="0" fontId="9" fillId="0" borderId="10" xfId="0" applyFont="1" applyFill="1" applyBorder="1" applyAlignment="1">
      <alignment horizontal="center" wrapText="1"/>
    </xf>
    <xf numFmtId="0" fontId="5" fillId="34" borderId="18"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2" xfId="0" applyFont="1" applyFill="1" applyBorder="1" applyAlignment="1">
      <alignment vertical="top" wrapText="1"/>
    </xf>
    <xf numFmtId="0" fontId="5" fillId="34" borderId="13" xfId="0" applyFont="1" applyFill="1" applyBorder="1" applyAlignment="1">
      <alignment vertical="top" wrapText="1"/>
    </xf>
    <xf numFmtId="0" fontId="5" fillId="34" borderId="14" xfId="0" applyFont="1" applyFill="1" applyBorder="1" applyAlignment="1">
      <alignment vertical="top" wrapText="1"/>
    </xf>
    <xf numFmtId="0" fontId="3" fillId="0" borderId="0" xfId="0" applyFont="1" applyFill="1" applyAlignment="1">
      <alignment horizontal="left" wrapText="1"/>
    </xf>
    <xf numFmtId="184" fontId="5" fillId="0" borderId="10" xfId="42" applyNumberFormat="1" applyFont="1" applyFill="1" applyBorder="1" applyAlignment="1">
      <alignment horizontal="center" vertical="center" wrapText="1"/>
    </xf>
    <xf numFmtId="0" fontId="7" fillId="0" borderId="0" xfId="0" applyFont="1" applyFill="1" applyAlignment="1">
      <alignment horizontal="center" vertical="top" wrapText="1"/>
    </xf>
    <xf numFmtId="0" fontId="6" fillId="0" borderId="0" xfId="0" applyFont="1" applyFill="1" applyBorder="1" applyAlignment="1">
      <alignment horizontal="center" wrapText="1"/>
    </xf>
    <xf numFmtId="0" fontId="5" fillId="0" borderId="10" xfId="0" applyFont="1" applyFill="1" applyBorder="1" applyAlignment="1">
      <alignment horizontal="center" vertical="top" wrapText="1"/>
    </xf>
    <xf numFmtId="0" fontId="14" fillId="0" borderId="0" xfId="0" applyFont="1" applyFill="1" applyAlignment="1">
      <alignment horizontal="center"/>
    </xf>
    <xf numFmtId="0" fontId="4" fillId="0" borderId="0" xfId="0" applyFont="1" applyFill="1" applyBorder="1" applyAlignment="1">
      <alignment horizontal="center" wrapText="1"/>
    </xf>
    <xf numFmtId="0" fontId="14" fillId="0" borderId="0" xfId="0" applyFont="1" applyFill="1" applyAlignment="1">
      <alignment horizontal="center" vertical="top" wrapText="1"/>
    </xf>
    <xf numFmtId="0" fontId="83" fillId="0" borderId="10" xfId="0" applyFont="1" applyFill="1" applyBorder="1" applyAlignment="1">
      <alignment horizontal="center" vertical="center" wrapText="1"/>
    </xf>
    <xf numFmtId="0" fontId="9" fillId="0" borderId="10" xfId="0" applyFont="1" applyFill="1" applyBorder="1" applyAlignment="1">
      <alignment horizontal="center" vertical="top" wrapText="1"/>
    </xf>
    <xf numFmtId="0" fontId="16" fillId="0" borderId="0" xfId="0" applyFont="1" applyFill="1" applyAlignment="1">
      <alignment horizontal="center" vertical="top" wrapText="1"/>
    </xf>
    <xf numFmtId="0" fontId="1" fillId="0" borderId="1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11" xfId="0" applyFont="1" applyBorder="1" applyAlignment="1">
      <alignment horizontal="right"/>
    </xf>
    <xf numFmtId="0" fontId="3" fillId="0" borderId="0" xfId="0" applyFont="1" applyAlignment="1">
      <alignment vertical="top" wrapText="1"/>
    </xf>
    <xf numFmtId="0" fontId="6" fillId="0" borderId="0" xfId="0" applyFont="1" applyAlignment="1">
      <alignment horizontal="center" vertical="top" wrapText="1"/>
    </xf>
    <xf numFmtId="0" fontId="5" fillId="0" borderId="0" xfId="0" applyFont="1" applyAlignment="1">
      <alignment horizontal="center" vertical="top" wrapText="1"/>
    </xf>
    <xf numFmtId="0" fontId="3" fillId="0" borderId="0" xfId="0" applyFont="1" applyAlignment="1">
      <alignment horizontal="center" vertical="top" wrapText="1"/>
    </xf>
    <xf numFmtId="0" fontId="5" fillId="0" borderId="10" xfId="0"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5" fillId="0" borderId="0" xfId="0" applyFont="1" applyAlignment="1">
      <alignment horizontal="left" vertical="top" wrapText="1"/>
    </xf>
    <xf numFmtId="0" fontId="5" fillId="33" borderId="10" xfId="0" applyFont="1" applyFill="1" applyBorder="1" applyAlignment="1">
      <alignment horizontal="center" wrapText="1"/>
    </xf>
    <xf numFmtId="0" fontId="9" fillId="0" borderId="10" xfId="0" applyFont="1" applyBorder="1" applyAlignment="1">
      <alignment horizontal="center" vertical="center" wrapText="1"/>
    </xf>
    <xf numFmtId="0" fontId="83" fillId="0" borderId="10" xfId="0" applyFont="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center" wrapText="1"/>
    </xf>
    <xf numFmtId="0" fontId="3" fillId="0" borderId="0" xfId="0" applyFont="1" applyAlignment="1">
      <alignment horizontal="center"/>
    </xf>
    <xf numFmtId="0" fontId="3" fillId="35" borderId="0" xfId="0" applyFont="1" applyFill="1" applyBorder="1" applyAlignment="1" quotePrefix="1">
      <alignment horizontal="left" vertical="center" wrapText="1"/>
    </xf>
    <xf numFmtId="3" fontId="3" fillId="35" borderId="0" xfId="0" applyNumberFormat="1" applyFont="1" applyFill="1" applyAlignment="1">
      <alignment horizontal="center" vertical="center" wrapText="1"/>
    </xf>
    <xf numFmtId="0" fontId="21" fillId="35" borderId="0" xfId="0" applyFont="1" applyFill="1" applyBorder="1" applyAlignment="1" quotePrefix="1">
      <alignment horizontal="left" vertical="center" wrapText="1"/>
    </xf>
    <xf numFmtId="4" fontId="5" fillId="0" borderId="10" xfId="0" applyNumberFormat="1" applyFont="1" applyBorder="1" applyAlignment="1">
      <alignment horizontal="center" vertical="center" wrapText="1"/>
    </xf>
    <xf numFmtId="0" fontId="5" fillId="35" borderId="10" xfId="0" applyFont="1" applyFill="1" applyBorder="1" applyAlignment="1">
      <alignment horizontal="center" vertical="center"/>
    </xf>
    <xf numFmtId="0" fontId="5" fillId="35" borderId="10" xfId="0" applyFont="1" applyFill="1" applyBorder="1" applyAlignment="1">
      <alignment horizontal="center" vertical="center" wrapText="1"/>
    </xf>
    <xf numFmtId="3" fontId="5" fillId="0" borderId="10" xfId="0" applyNumberFormat="1" applyFont="1" applyBorder="1" applyAlignment="1">
      <alignment horizontal="center" vertical="center" wrapText="1"/>
    </xf>
    <xf numFmtId="4" fontId="5" fillId="0" borderId="10" xfId="0" applyNumberFormat="1" applyFont="1" applyFill="1" applyBorder="1" applyAlignment="1">
      <alignment horizontal="center" vertical="center" wrapText="1"/>
    </xf>
    <xf numFmtId="0" fontId="3" fillId="35" borderId="0" xfId="0" applyFont="1" applyFill="1" applyBorder="1" applyAlignment="1">
      <alignment horizontal="center" vertical="center"/>
    </xf>
    <xf numFmtId="0" fontId="5" fillId="35" borderId="0" xfId="0" applyFont="1" applyFill="1" applyAlignment="1">
      <alignment horizontal="center" vertical="center"/>
    </xf>
    <xf numFmtId="0" fontId="6" fillId="35" borderId="0" xfId="0" applyFont="1" applyFill="1" applyAlignment="1">
      <alignment horizontal="center" vertical="center"/>
    </xf>
    <xf numFmtId="4" fontId="9" fillId="35" borderId="0" xfId="0" applyNumberFormat="1" applyFont="1" applyFill="1" applyAlignment="1">
      <alignment horizontal="center"/>
    </xf>
    <xf numFmtId="0" fontId="92" fillId="35" borderId="0" xfId="0" applyFont="1" applyFill="1" applyAlignment="1">
      <alignment horizontal="center" vertical="center" wrapText="1"/>
    </xf>
    <xf numFmtId="3" fontId="5" fillId="35" borderId="10" xfId="0" applyNumberFormat="1" applyFont="1" applyFill="1" applyBorder="1" applyAlignment="1">
      <alignment horizontal="center" vertical="center" wrapText="1"/>
    </xf>
    <xf numFmtId="4" fontId="5" fillId="35" borderId="10" xfId="0" applyNumberFormat="1" applyFont="1" applyFill="1" applyBorder="1" applyAlignment="1">
      <alignment horizontal="center" vertical="center" wrapText="1"/>
    </xf>
    <xf numFmtId="49" fontId="7" fillId="35" borderId="10" xfId="0" applyNumberFormat="1" applyFont="1" applyFill="1" applyBorder="1" applyAlignment="1">
      <alignment horizontal="center" vertical="center" wrapText="1"/>
    </xf>
    <xf numFmtId="0" fontId="5" fillId="35" borderId="10" xfId="0" applyFont="1" applyFill="1" applyBorder="1" applyAlignment="1">
      <alignment horizontal="center" vertical="center" wrapText="1"/>
    </xf>
    <xf numFmtId="0" fontId="100"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28" fillId="0" borderId="11" xfId="0" applyFont="1" applyBorder="1" applyAlignment="1">
      <alignment horizontal="center" vertical="center"/>
    </xf>
    <xf numFmtId="0" fontId="25" fillId="0" borderId="10" xfId="0" applyFont="1" applyBorder="1" applyAlignment="1">
      <alignment horizontal="center" vertical="center" wrapText="1"/>
    </xf>
    <xf numFmtId="0" fontId="25" fillId="0" borderId="10"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nguyenthimynga\Downloads\Bao%20cao%20PL%2002%20cho%20STC%20-%20VB%20so%20114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1"/>
      <sheetName val="PL 01"/>
      <sheetName val="PL 02"/>
      <sheetName val="Thu HP 2018"/>
      <sheetName val="Theo doi so nop HP hang nam"/>
      <sheetName val="Theo doi so nop DV hang nam"/>
      <sheetName val="Sheet3"/>
    </sheetNames>
    <sheetDataSet>
      <sheetData sheetId="1">
        <row r="18">
          <cell r="I18">
            <v>117.86799995999999</v>
          </cell>
        </row>
        <row r="19">
          <cell r="I19">
            <v>117.86799995999999</v>
          </cell>
        </row>
        <row r="21">
          <cell r="I21">
            <v>11988.360628056918</v>
          </cell>
        </row>
        <row r="22">
          <cell r="I22">
            <v>258.4555074432</v>
          </cell>
        </row>
        <row r="23">
          <cell r="I23">
            <v>271.0036872</v>
          </cell>
        </row>
        <row r="24">
          <cell r="I24">
            <v>264.07900467692315</v>
          </cell>
        </row>
        <row r="25">
          <cell r="I25">
            <v>365.9062876800002</v>
          </cell>
        </row>
        <row r="26">
          <cell r="I26">
            <v>274.38691315200003</v>
          </cell>
        </row>
        <row r="27">
          <cell r="I27">
            <v>145.31139357119997</v>
          </cell>
        </row>
        <row r="28">
          <cell r="I28">
            <v>253.14980328000001</v>
          </cell>
        </row>
        <row r="29">
          <cell r="I29">
            <v>295.45695680640017</v>
          </cell>
        </row>
        <row r="30">
          <cell r="I30">
            <v>267.35500007999997</v>
          </cell>
        </row>
        <row r="31">
          <cell r="I31">
            <v>301.95851976000006</v>
          </cell>
        </row>
        <row r="32">
          <cell r="I32">
            <v>279.57951701279995</v>
          </cell>
        </row>
        <row r="33">
          <cell r="I33">
            <v>195.57057830399987</v>
          </cell>
        </row>
        <row r="34">
          <cell r="I34">
            <v>198.14478677279996</v>
          </cell>
        </row>
        <row r="35">
          <cell r="I35">
            <v>196.95701880000001</v>
          </cell>
        </row>
        <row r="36">
          <cell r="I36">
            <v>231.05593127999998</v>
          </cell>
        </row>
        <row r="37">
          <cell r="I37">
            <v>168.2181133487999</v>
          </cell>
        </row>
        <row r="38">
          <cell r="I38">
            <v>291.6521830943999</v>
          </cell>
        </row>
        <row r="39">
          <cell r="I39">
            <v>274.5162072720001</v>
          </cell>
        </row>
        <row r="40">
          <cell r="I40">
            <v>224.54527103999993</v>
          </cell>
        </row>
        <row r="41">
          <cell r="I41">
            <v>310.91502733439995</v>
          </cell>
        </row>
        <row r="42">
          <cell r="I42">
            <v>223.40816733599988</v>
          </cell>
        </row>
        <row r="43">
          <cell r="I43">
            <v>253.34314228800008</v>
          </cell>
        </row>
        <row r="44">
          <cell r="I44">
            <v>352.214371656</v>
          </cell>
        </row>
        <row r="45">
          <cell r="I45">
            <v>314.83197754560007</v>
          </cell>
        </row>
        <row r="46">
          <cell r="I46">
            <v>206.90347613759994</v>
          </cell>
        </row>
        <row r="47">
          <cell r="I47">
            <v>317.12071966560023</v>
          </cell>
        </row>
        <row r="48">
          <cell r="I48">
            <v>146.0833334784</v>
          </cell>
        </row>
        <row r="49">
          <cell r="I49">
            <v>138.54052944</v>
          </cell>
        </row>
        <row r="50">
          <cell r="I50">
            <v>303.2886070656</v>
          </cell>
        </row>
        <row r="51">
          <cell r="I51">
            <v>225.9526644</v>
          </cell>
        </row>
        <row r="52">
          <cell r="I52">
            <v>282.29652357839996</v>
          </cell>
        </row>
        <row r="53">
          <cell r="I53">
            <v>367.8315667199999</v>
          </cell>
        </row>
        <row r="54">
          <cell r="I54">
            <v>229.6102226399999</v>
          </cell>
        </row>
        <row r="55">
          <cell r="I55">
            <v>224.99447993279995</v>
          </cell>
        </row>
        <row r="56">
          <cell r="I56">
            <v>290.9368499328001</v>
          </cell>
        </row>
        <row r="57">
          <cell r="I57">
            <v>237.86992131839995</v>
          </cell>
        </row>
        <row r="58">
          <cell r="I58">
            <v>314.97688378080005</v>
          </cell>
        </row>
        <row r="60">
          <cell r="I60">
            <v>317.83573044</v>
          </cell>
        </row>
        <row r="61">
          <cell r="I61">
            <v>298.1618795088001</v>
          </cell>
        </row>
        <row r="62">
          <cell r="I62">
            <v>235.23254495999993</v>
          </cell>
        </row>
        <row r="63">
          <cell r="I63">
            <v>189.27773854560002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AR194"/>
  <sheetViews>
    <sheetView zoomScale="70" zoomScaleNormal="70" zoomScaleSheetLayoutView="100" zoomScalePageLayoutView="0" workbookViewId="0" topLeftCell="A1">
      <pane xSplit="7" ySplit="9" topLeftCell="I10" activePane="bottomRight" state="frozen"/>
      <selection pane="topLeft" activeCell="B169" sqref="B169:N171"/>
      <selection pane="topRight" activeCell="B169" sqref="B169:N171"/>
      <selection pane="bottomLeft" activeCell="B169" sqref="B169:N171"/>
      <selection pane="bottomRight" activeCell="B169" sqref="B169:N171"/>
    </sheetView>
  </sheetViews>
  <sheetFormatPr defaultColWidth="9.140625" defaultRowHeight="12.75"/>
  <cols>
    <col min="1" max="1" width="0" style="35" hidden="1" customWidth="1"/>
    <col min="2" max="2" width="4.421875" style="25" customWidth="1"/>
    <col min="3" max="3" width="26.421875" style="25" customWidth="1"/>
    <col min="4" max="4" width="7.8515625" style="25" hidden="1" customWidth="1"/>
    <col min="5" max="5" width="7.57421875" style="25" hidden="1" customWidth="1"/>
    <col min="6" max="6" width="9.28125" style="25" customWidth="1"/>
    <col min="7" max="7" width="9.421875" style="25" customWidth="1"/>
    <col min="8" max="8" width="1.421875" style="25" hidden="1" customWidth="1"/>
    <col min="9" max="9" width="15.00390625" style="31" bestFit="1" customWidth="1"/>
    <col min="10" max="10" width="9.8515625" style="25" customWidth="1"/>
    <col min="11" max="11" width="9.00390625" style="25" customWidth="1"/>
    <col min="12" max="12" width="7.8515625" style="25" customWidth="1"/>
    <col min="13" max="13" width="7.421875" style="25" customWidth="1"/>
    <col min="14" max="14" width="7.57421875" style="25" customWidth="1"/>
    <col min="15" max="15" width="9.7109375" style="25" customWidth="1"/>
    <col min="16" max="17" width="7.57421875" style="25" customWidth="1"/>
    <col min="18" max="18" width="10.28125" style="25" customWidth="1"/>
    <col min="19" max="19" width="9.57421875" style="25" customWidth="1"/>
    <col min="20" max="20" width="8.421875" style="25" customWidth="1"/>
    <col min="21" max="21" width="7.57421875" style="25" customWidth="1"/>
    <col min="22" max="22" width="9.7109375" style="25" customWidth="1"/>
    <col min="23" max="23" width="13.28125" style="49" customWidth="1"/>
    <col min="24" max="25" width="9.421875" style="25" customWidth="1"/>
    <col min="26" max="26" width="8.140625" style="25" customWidth="1"/>
    <col min="27" max="27" width="7.7109375" style="25" customWidth="1"/>
    <col min="28" max="28" width="8.00390625" style="25" customWidth="1"/>
    <col min="29" max="29" width="9.7109375" style="25" customWidth="1"/>
    <col min="30" max="35" width="8.00390625" style="25" customWidth="1"/>
    <col min="36" max="36" width="9.8515625" style="25" customWidth="1"/>
    <col min="37" max="37" width="9.140625" style="25" customWidth="1"/>
    <col min="38" max="38" width="12.28125" style="145" customWidth="1"/>
    <col min="39" max="39" width="14.7109375" style="25" customWidth="1"/>
    <col min="40" max="40" width="19.140625" style="25" customWidth="1"/>
    <col min="41" max="16384" width="9.140625" style="25" customWidth="1"/>
  </cols>
  <sheetData>
    <row r="1" spans="2:38" s="29" customFormat="1" ht="15" hidden="1">
      <c r="B1" s="690" t="s">
        <v>311</v>
      </c>
      <c r="C1" s="690"/>
      <c r="D1" s="45"/>
      <c r="E1" s="45"/>
      <c r="F1" s="46"/>
      <c r="I1" s="47"/>
      <c r="U1" s="690" t="s">
        <v>0</v>
      </c>
      <c r="V1" s="690"/>
      <c r="W1" s="48"/>
      <c r="AL1" s="144"/>
    </row>
    <row r="2" spans="1:24" ht="15.75" hidden="1">
      <c r="A2" s="32"/>
      <c r="B2" s="694" t="s">
        <v>323</v>
      </c>
      <c r="C2" s="694"/>
      <c r="D2" s="694"/>
      <c r="E2" s="694"/>
      <c r="F2" s="694"/>
      <c r="G2" s="694"/>
      <c r="H2" s="694"/>
      <c r="I2" s="694"/>
      <c r="J2" s="694"/>
      <c r="K2" s="694"/>
      <c r="L2" s="694"/>
      <c r="M2" s="694"/>
      <c r="X2" s="50"/>
    </row>
    <row r="3" spans="1:13" ht="12.75" hidden="1">
      <c r="A3" s="32"/>
      <c r="B3" s="691"/>
      <c r="C3" s="691"/>
      <c r="D3" s="691"/>
      <c r="E3" s="691"/>
      <c r="F3" s="691"/>
      <c r="G3" s="691"/>
      <c r="H3" s="691"/>
      <c r="I3" s="691"/>
      <c r="J3" s="691"/>
      <c r="K3" s="691"/>
      <c r="L3" s="691"/>
      <c r="M3" s="691"/>
    </row>
    <row r="4" spans="2:38" s="22" customFormat="1" ht="12.75">
      <c r="B4" s="51"/>
      <c r="C4" s="52"/>
      <c r="D4" s="52"/>
      <c r="E4" s="52"/>
      <c r="F4" s="53"/>
      <c r="G4" s="51"/>
      <c r="H4" s="36"/>
      <c r="I4" s="38">
        <f>+(I176+I172+I10)*12</f>
        <v>1204073.4692019</v>
      </c>
      <c r="J4" s="36"/>
      <c r="K4" s="36"/>
      <c r="L4" s="36"/>
      <c r="M4" s="36"/>
      <c r="N4" s="36"/>
      <c r="O4" s="36"/>
      <c r="P4" s="36"/>
      <c r="Q4" s="36"/>
      <c r="R4" s="36"/>
      <c r="S4" s="36"/>
      <c r="T4" s="36"/>
      <c r="U4" s="36"/>
      <c r="V4" s="36"/>
      <c r="W4" s="39">
        <f>(W10+W172+W176)*12</f>
        <v>1297133.5550070002</v>
      </c>
      <c r="X4" s="37"/>
      <c r="Y4" s="37"/>
      <c r="Z4" s="37"/>
      <c r="AA4" s="37"/>
      <c r="AB4" s="37"/>
      <c r="AC4" s="37"/>
      <c r="AD4" s="37"/>
      <c r="AE4" s="37"/>
      <c r="AF4" s="37"/>
      <c r="AG4" s="37"/>
      <c r="AH4" s="37"/>
      <c r="AI4" s="37"/>
      <c r="AJ4" s="37"/>
      <c r="AK4" s="22" t="s">
        <v>55</v>
      </c>
      <c r="AL4" s="146"/>
    </row>
    <row r="5" spans="1:44" s="30" customFormat="1" ht="30" customHeight="1">
      <c r="A5" s="34"/>
      <c r="B5" s="681" t="s">
        <v>58</v>
      </c>
      <c r="C5" s="681" t="s">
        <v>1</v>
      </c>
      <c r="D5" s="678" t="s">
        <v>238</v>
      </c>
      <c r="E5" s="678" t="s">
        <v>239</v>
      </c>
      <c r="F5" s="681" t="s">
        <v>321</v>
      </c>
      <c r="G5" s="681" t="s">
        <v>322</v>
      </c>
      <c r="H5" s="40"/>
      <c r="I5" s="692" t="s">
        <v>324</v>
      </c>
      <c r="J5" s="692"/>
      <c r="K5" s="692"/>
      <c r="L5" s="692"/>
      <c r="M5" s="692"/>
      <c r="N5" s="692"/>
      <c r="O5" s="692"/>
      <c r="P5" s="692"/>
      <c r="Q5" s="692"/>
      <c r="R5" s="692"/>
      <c r="S5" s="692"/>
      <c r="T5" s="692"/>
      <c r="U5" s="692"/>
      <c r="V5" s="692"/>
      <c r="W5" s="692" t="s">
        <v>325</v>
      </c>
      <c r="X5" s="692"/>
      <c r="Y5" s="692"/>
      <c r="Z5" s="692"/>
      <c r="AA5" s="692"/>
      <c r="AB5" s="692"/>
      <c r="AC5" s="692"/>
      <c r="AD5" s="692"/>
      <c r="AE5" s="692"/>
      <c r="AF5" s="692"/>
      <c r="AG5" s="692"/>
      <c r="AH5" s="692"/>
      <c r="AI5" s="692"/>
      <c r="AJ5" s="692"/>
      <c r="AK5" s="681" t="s">
        <v>2</v>
      </c>
      <c r="AL5" s="696" t="s">
        <v>326</v>
      </c>
      <c r="AM5" s="702" t="s">
        <v>313</v>
      </c>
      <c r="AN5" s="703"/>
      <c r="AO5" s="699" t="s">
        <v>316</v>
      </c>
      <c r="AP5" s="699" t="s">
        <v>317</v>
      </c>
      <c r="AQ5" s="699" t="s">
        <v>318</v>
      </c>
      <c r="AR5" s="699" t="s">
        <v>319</v>
      </c>
    </row>
    <row r="6" spans="1:44" s="30" customFormat="1" ht="13.5" customHeight="1">
      <c r="A6" s="34"/>
      <c r="B6" s="681"/>
      <c r="C6" s="681"/>
      <c r="D6" s="679"/>
      <c r="E6" s="679"/>
      <c r="F6" s="681"/>
      <c r="G6" s="681"/>
      <c r="H6" s="40"/>
      <c r="I6" s="681" t="s">
        <v>3</v>
      </c>
      <c r="J6" s="681" t="s">
        <v>4</v>
      </c>
      <c r="K6" s="681" t="s">
        <v>5</v>
      </c>
      <c r="L6" s="682" t="s">
        <v>6</v>
      </c>
      <c r="M6" s="682"/>
      <c r="N6" s="682"/>
      <c r="O6" s="682"/>
      <c r="P6" s="682"/>
      <c r="Q6" s="682"/>
      <c r="R6" s="682"/>
      <c r="S6" s="682"/>
      <c r="T6" s="682"/>
      <c r="U6" s="682"/>
      <c r="V6" s="681" t="s">
        <v>7</v>
      </c>
      <c r="W6" s="689" t="s">
        <v>3</v>
      </c>
      <c r="X6" s="681" t="s">
        <v>4</v>
      </c>
      <c r="Y6" s="681" t="s">
        <v>5</v>
      </c>
      <c r="Z6" s="697" t="s">
        <v>6</v>
      </c>
      <c r="AA6" s="697"/>
      <c r="AB6" s="697"/>
      <c r="AC6" s="697"/>
      <c r="AD6" s="697"/>
      <c r="AE6" s="697"/>
      <c r="AF6" s="697"/>
      <c r="AG6" s="697"/>
      <c r="AH6" s="697"/>
      <c r="AI6" s="697"/>
      <c r="AJ6" s="681" t="s">
        <v>7</v>
      </c>
      <c r="AK6" s="681"/>
      <c r="AL6" s="696"/>
      <c r="AM6" s="700" t="s">
        <v>314</v>
      </c>
      <c r="AN6" s="683" t="s">
        <v>315</v>
      </c>
      <c r="AO6" s="699"/>
      <c r="AP6" s="699"/>
      <c r="AQ6" s="699"/>
      <c r="AR6" s="699"/>
    </row>
    <row r="7" spans="1:44" s="30" customFormat="1" ht="98.25" customHeight="1">
      <c r="A7" s="34"/>
      <c r="B7" s="681"/>
      <c r="C7" s="681"/>
      <c r="D7" s="680"/>
      <c r="E7" s="680"/>
      <c r="F7" s="681"/>
      <c r="G7" s="681"/>
      <c r="H7" s="40" t="s">
        <v>249</v>
      </c>
      <c r="I7" s="681"/>
      <c r="J7" s="681"/>
      <c r="K7" s="681"/>
      <c r="L7" s="66" t="s">
        <v>8</v>
      </c>
      <c r="M7" s="66" t="s">
        <v>342</v>
      </c>
      <c r="N7" s="66" t="s">
        <v>9</v>
      </c>
      <c r="O7" s="66" t="s">
        <v>10</v>
      </c>
      <c r="P7" s="66" t="s">
        <v>11</v>
      </c>
      <c r="Q7" s="66" t="s">
        <v>12</v>
      </c>
      <c r="R7" s="66" t="s">
        <v>13</v>
      </c>
      <c r="S7" s="66" t="s">
        <v>14</v>
      </c>
      <c r="T7" s="66" t="s">
        <v>15</v>
      </c>
      <c r="U7" s="66" t="s">
        <v>16</v>
      </c>
      <c r="V7" s="681"/>
      <c r="W7" s="689"/>
      <c r="X7" s="681"/>
      <c r="Y7" s="681"/>
      <c r="Z7" s="66" t="s">
        <v>8</v>
      </c>
      <c r="AA7" s="66" t="s">
        <v>342</v>
      </c>
      <c r="AB7" s="66" t="s">
        <v>9</v>
      </c>
      <c r="AC7" s="66" t="s">
        <v>10</v>
      </c>
      <c r="AD7" s="66" t="s">
        <v>11</v>
      </c>
      <c r="AE7" s="66" t="s">
        <v>12</v>
      </c>
      <c r="AF7" s="66" t="s">
        <v>13</v>
      </c>
      <c r="AG7" s="66" t="s">
        <v>14</v>
      </c>
      <c r="AH7" s="66" t="s">
        <v>15</v>
      </c>
      <c r="AI7" s="66" t="s">
        <v>16</v>
      </c>
      <c r="AJ7" s="681"/>
      <c r="AK7" s="681"/>
      <c r="AL7" s="696"/>
      <c r="AM7" s="701"/>
      <c r="AN7" s="684"/>
      <c r="AO7" s="699"/>
      <c r="AP7" s="699"/>
      <c r="AQ7" s="699"/>
      <c r="AR7" s="699"/>
    </row>
    <row r="8" spans="2:44" ht="12.75">
      <c r="B8" s="21">
        <v>1</v>
      </c>
      <c r="C8" s="21">
        <v>2</v>
      </c>
      <c r="D8" s="21"/>
      <c r="E8" s="21"/>
      <c r="F8" s="21">
        <v>3</v>
      </c>
      <c r="G8" s="21">
        <v>4</v>
      </c>
      <c r="H8" s="21"/>
      <c r="I8" s="42">
        <v>5</v>
      </c>
      <c r="J8" s="21">
        <v>6</v>
      </c>
      <c r="K8" s="21">
        <v>7</v>
      </c>
      <c r="L8" s="21">
        <v>8</v>
      </c>
      <c r="M8" s="21">
        <v>9</v>
      </c>
      <c r="N8" s="21">
        <v>10</v>
      </c>
      <c r="O8" s="21">
        <v>11</v>
      </c>
      <c r="P8" s="21">
        <v>12</v>
      </c>
      <c r="Q8" s="21">
        <v>13</v>
      </c>
      <c r="R8" s="21">
        <v>14</v>
      </c>
      <c r="S8" s="21">
        <v>15</v>
      </c>
      <c r="T8" s="21">
        <v>16</v>
      </c>
      <c r="U8" s="21">
        <v>17</v>
      </c>
      <c r="V8" s="21">
        <v>18</v>
      </c>
      <c r="W8" s="43">
        <v>19</v>
      </c>
      <c r="X8" s="21">
        <v>20</v>
      </c>
      <c r="Y8" s="21">
        <v>21</v>
      </c>
      <c r="Z8" s="21">
        <v>22</v>
      </c>
      <c r="AA8" s="21">
        <v>23</v>
      </c>
      <c r="AB8" s="21">
        <v>24</v>
      </c>
      <c r="AC8" s="21">
        <v>25</v>
      </c>
      <c r="AD8" s="21">
        <v>26</v>
      </c>
      <c r="AE8" s="21">
        <v>27</v>
      </c>
      <c r="AF8" s="21">
        <v>28</v>
      </c>
      <c r="AG8" s="21">
        <v>29</v>
      </c>
      <c r="AH8" s="21">
        <v>30</v>
      </c>
      <c r="AI8" s="21">
        <v>31</v>
      </c>
      <c r="AJ8" s="21">
        <v>32</v>
      </c>
      <c r="AK8" s="21" t="s">
        <v>250</v>
      </c>
      <c r="AL8" s="147" t="s">
        <v>327</v>
      </c>
      <c r="AM8" s="63"/>
      <c r="AN8" s="63"/>
      <c r="AO8" s="63"/>
      <c r="AP8" s="64" t="s">
        <v>320</v>
      </c>
      <c r="AQ8" s="63"/>
      <c r="AR8" s="63"/>
    </row>
    <row r="9" spans="2:44" ht="25.5">
      <c r="B9" s="21"/>
      <c r="C9" s="42" t="s">
        <v>17</v>
      </c>
      <c r="D9" s="42"/>
      <c r="E9" s="42"/>
      <c r="F9" s="18"/>
      <c r="G9" s="18"/>
      <c r="H9" s="18"/>
      <c r="I9" s="24"/>
      <c r="J9" s="18"/>
      <c r="K9" s="18"/>
      <c r="L9" s="18"/>
      <c r="M9" s="18"/>
      <c r="N9" s="18"/>
      <c r="O9" s="18"/>
      <c r="P9" s="18"/>
      <c r="Q9" s="18"/>
      <c r="R9" s="18"/>
      <c r="S9" s="18"/>
      <c r="T9" s="18"/>
      <c r="U9" s="18"/>
      <c r="V9" s="18"/>
      <c r="W9" s="27"/>
      <c r="X9" s="18"/>
      <c r="Y9" s="18"/>
      <c r="Z9" s="18"/>
      <c r="AA9" s="18"/>
      <c r="AB9" s="18"/>
      <c r="AC9" s="18"/>
      <c r="AD9" s="18"/>
      <c r="AE9" s="18"/>
      <c r="AF9" s="18"/>
      <c r="AG9" s="18"/>
      <c r="AH9" s="18"/>
      <c r="AI9" s="18"/>
      <c r="AJ9" s="18"/>
      <c r="AK9" s="18"/>
      <c r="AL9" s="148"/>
      <c r="AM9" s="63"/>
      <c r="AN9" s="63"/>
      <c r="AO9" s="63"/>
      <c r="AP9" s="63"/>
      <c r="AQ9" s="63"/>
      <c r="AR9" s="63"/>
    </row>
    <row r="10" spans="1:44" s="109" customFormat="1" ht="25.5">
      <c r="A10" s="99"/>
      <c r="B10" s="100" t="s">
        <v>18</v>
      </c>
      <c r="C10" s="103" t="s">
        <v>19</v>
      </c>
      <c r="D10" s="103"/>
      <c r="E10" s="103"/>
      <c r="F10" s="199">
        <f>+F12+F28+F31+F32+F33+F47+F48+F55+F80+F92</f>
        <v>17387</v>
      </c>
      <c r="G10" s="199">
        <f>+G12+G28+G31+G32+G33+G47+G48+G55+G80+G92</f>
        <v>16177</v>
      </c>
      <c r="H10" s="103"/>
      <c r="I10" s="199">
        <f>+I12+I28+I31+I32+I33+I47+I48+I55+I80+I92</f>
        <v>100337.04076682501</v>
      </c>
      <c r="J10" s="199">
        <f aca="true" t="shared" si="0" ref="J10:U10">+J12+J28+J31+J32+J33+J47+J48+J55+J80+J92</f>
        <v>58301.25099000001</v>
      </c>
      <c r="K10" s="199">
        <f t="shared" si="0"/>
        <v>26772.564965650003</v>
      </c>
      <c r="L10" s="199">
        <f t="shared" si="0"/>
        <v>610.115</v>
      </c>
      <c r="M10" s="199">
        <f t="shared" si="0"/>
        <v>1339.6589999999999</v>
      </c>
      <c r="N10" s="199">
        <f t="shared" si="0"/>
        <v>683.792543</v>
      </c>
      <c r="O10" s="199">
        <f t="shared" si="0"/>
        <v>17841.84</v>
      </c>
      <c r="P10" s="199">
        <f t="shared" si="0"/>
        <v>23.830000000000002</v>
      </c>
      <c r="Q10" s="199">
        <f t="shared" si="0"/>
        <v>8.08</v>
      </c>
      <c r="R10" s="199">
        <f t="shared" si="0"/>
        <v>1878.03082575</v>
      </c>
      <c r="S10" s="199">
        <f t="shared" si="0"/>
        <v>267.7642069</v>
      </c>
      <c r="T10" s="199">
        <f t="shared" si="0"/>
        <v>2344.20067</v>
      </c>
      <c r="U10" s="199">
        <f t="shared" si="0"/>
        <v>1639.1219700000001</v>
      </c>
      <c r="V10" s="199">
        <f>+V12+V28+V31+V32+V33+V47+V48+V55+V80+V92</f>
        <v>14693.344811174999</v>
      </c>
      <c r="W10" s="199">
        <f>+W12+W28+W31+W32+W33+W47+W48+W55+W80+W92</f>
        <v>108031.13961725001</v>
      </c>
      <c r="X10" s="199">
        <f aca="true" t="shared" si="1" ref="X10:AJ10">+X12+X28+X31+X32+X33+X47+X48+X55+X80+X92</f>
        <v>62615.4283</v>
      </c>
      <c r="Y10" s="199">
        <f t="shared" si="1"/>
        <v>29013.7152945</v>
      </c>
      <c r="Z10" s="199">
        <f t="shared" si="1"/>
        <v>662.379</v>
      </c>
      <c r="AA10" s="199">
        <f t="shared" si="1"/>
        <v>1445.941</v>
      </c>
      <c r="AB10" s="199">
        <f t="shared" si="1"/>
        <v>731.6003900000001</v>
      </c>
      <c r="AC10" s="199">
        <f t="shared" si="1"/>
        <v>19139.448999999997</v>
      </c>
      <c r="AD10" s="199">
        <f t="shared" si="1"/>
        <v>226.83</v>
      </c>
      <c r="AE10" s="199">
        <f t="shared" si="1"/>
        <v>91.54</v>
      </c>
      <c r="AF10" s="199">
        <f t="shared" si="1"/>
        <v>1941.8206474999997</v>
      </c>
      <c r="AG10" s="199">
        <f t="shared" si="1"/>
        <v>286.216057</v>
      </c>
      <c r="AH10" s="199">
        <f t="shared" si="1"/>
        <v>2523.2781</v>
      </c>
      <c r="AI10" s="199">
        <f t="shared" si="1"/>
        <v>1815.7650999999998</v>
      </c>
      <c r="AJ10" s="199">
        <f t="shared" si="1"/>
        <v>15802.384022749999</v>
      </c>
      <c r="AK10" s="199">
        <f>+AK12+AK28+AK31+AK32+AK33+AK47+AK48+AK55+AK80+AK92</f>
        <v>7648.701600425002</v>
      </c>
      <c r="AL10" s="290">
        <f>+AL12+AL28+AL31+AL32+AL33+AL47+AL48+AL55+AL80+AL92</f>
        <v>46912.894802550014</v>
      </c>
      <c r="AM10" s="291"/>
      <c r="AN10" s="291"/>
      <c r="AO10" s="107"/>
      <c r="AP10" s="107"/>
      <c r="AQ10" s="107"/>
      <c r="AR10" s="107"/>
    </row>
    <row r="11" spans="1:44" s="143" customFormat="1" ht="12.75" customHeight="1">
      <c r="A11" s="99"/>
      <c r="B11" s="110"/>
      <c r="C11" s="188" t="s">
        <v>20</v>
      </c>
      <c r="D11" s="188"/>
      <c r="E11" s="188"/>
      <c r="F11" s="112"/>
      <c r="G11" s="112"/>
      <c r="H11" s="112"/>
      <c r="I11" s="105"/>
      <c r="J11" s="113"/>
      <c r="K11" s="113"/>
      <c r="L11" s="113"/>
      <c r="M11" s="113"/>
      <c r="N11" s="113"/>
      <c r="O11" s="113"/>
      <c r="P11" s="113"/>
      <c r="Q11" s="113"/>
      <c r="R11" s="113"/>
      <c r="S11" s="113"/>
      <c r="T11" s="113"/>
      <c r="U11" s="113"/>
      <c r="V11" s="113"/>
      <c r="W11" s="106"/>
      <c r="X11" s="113"/>
      <c r="Y11" s="113"/>
      <c r="Z11" s="113"/>
      <c r="AA11" s="113"/>
      <c r="AB11" s="113"/>
      <c r="AC11" s="113"/>
      <c r="AD11" s="113"/>
      <c r="AE11" s="113"/>
      <c r="AF11" s="113"/>
      <c r="AG11" s="113"/>
      <c r="AH11" s="113"/>
      <c r="AI11" s="113"/>
      <c r="AJ11" s="113"/>
      <c r="AK11" s="113"/>
      <c r="AL11" s="151"/>
      <c r="AM11" s="292"/>
      <c r="AN11" s="292"/>
      <c r="AO11" s="142"/>
      <c r="AP11" s="142"/>
      <c r="AQ11" s="142"/>
      <c r="AR11" s="142"/>
    </row>
    <row r="12" spans="1:44" s="109" customFormat="1" ht="12.75">
      <c r="A12" s="99"/>
      <c r="B12" s="100">
        <v>1</v>
      </c>
      <c r="C12" s="103" t="s">
        <v>21</v>
      </c>
      <c r="D12" s="103"/>
      <c r="E12" s="103"/>
      <c r="F12" s="199">
        <f>+F13+F16</f>
        <v>5088</v>
      </c>
      <c r="G12" s="199">
        <f>+G13+G16</f>
        <v>4863</v>
      </c>
      <c r="H12" s="103"/>
      <c r="I12" s="106">
        <f aca="true" t="shared" si="2" ref="I12:AJ12">+I13+I16</f>
        <v>31869.66</v>
      </c>
      <c r="J12" s="105">
        <f t="shared" si="2"/>
        <v>18014.935999999998</v>
      </c>
      <c r="K12" s="105">
        <f t="shared" si="2"/>
        <v>8876.709</v>
      </c>
      <c r="L12" s="105">
        <f t="shared" si="2"/>
        <v>254.16</v>
      </c>
      <c r="M12" s="105">
        <f t="shared" si="2"/>
        <v>328.811</v>
      </c>
      <c r="N12" s="105">
        <f t="shared" si="2"/>
        <v>163.54000000000002</v>
      </c>
      <c r="O12" s="105">
        <f t="shared" si="2"/>
        <v>5745.389999999999</v>
      </c>
      <c r="P12" s="105">
        <f t="shared" si="2"/>
        <v>0</v>
      </c>
      <c r="Q12" s="105">
        <f t="shared" si="2"/>
        <v>0</v>
      </c>
      <c r="R12" s="105">
        <f t="shared" si="2"/>
        <v>1.6</v>
      </c>
      <c r="S12" s="105">
        <f t="shared" si="2"/>
        <v>50.483000000000004</v>
      </c>
      <c r="T12" s="105">
        <f t="shared" si="2"/>
        <v>2146.762</v>
      </c>
      <c r="U12" s="105">
        <f t="shared" si="2"/>
        <v>185.963</v>
      </c>
      <c r="V12" s="105">
        <f t="shared" si="2"/>
        <v>4978.014999999999</v>
      </c>
      <c r="W12" s="106">
        <f t="shared" si="2"/>
        <v>34224.975</v>
      </c>
      <c r="X12" s="105">
        <f t="shared" si="2"/>
        <v>19335.659</v>
      </c>
      <c r="Y12" s="105">
        <f t="shared" si="2"/>
        <v>9542.798</v>
      </c>
      <c r="Z12" s="105">
        <f t="shared" si="2"/>
        <v>266.37</v>
      </c>
      <c r="AA12" s="105">
        <f t="shared" si="2"/>
        <v>362.87</v>
      </c>
      <c r="AB12" s="105">
        <f t="shared" si="2"/>
        <v>175.78900000000002</v>
      </c>
      <c r="AC12" s="105">
        <f t="shared" si="2"/>
        <v>6139.686</v>
      </c>
      <c r="AD12" s="105">
        <f t="shared" si="2"/>
        <v>198.52</v>
      </c>
      <c r="AE12" s="105">
        <f t="shared" si="2"/>
        <v>0</v>
      </c>
      <c r="AF12" s="105">
        <f t="shared" si="2"/>
        <v>1.6</v>
      </c>
      <c r="AG12" s="105">
        <f t="shared" si="2"/>
        <v>51.07</v>
      </c>
      <c r="AH12" s="105">
        <f t="shared" si="2"/>
        <v>2310.557</v>
      </c>
      <c r="AI12" s="105">
        <f t="shared" si="2"/>
        <v>36.336</v>
      </c>
      <c r="AJ12" s="105">
        <f t="shared" si="2"/>
        <v>5346.517999999999</v>
      </c>
      <c r="AK12" s="105">
        <f>+AK13+AK16</f>
        <v>2355.3149999999973</v>
      </c>
      <c r="AL12" s="153">
        <f>+AL13+AL16</f>
        <v>14131.889999999983</v>
      </c>
      <c r="AM12" s="107"/>
      <c r="AN12" s="107"/>
      <c r="AO12" s="107"/>
      <c r="AP12" s="107"/>
      <c r="AQ12" s="107"/>
      <c r="AR12" s="107"/>
    </row>
    <row r="13" spans="1:44" s="109" customFormat="1" ht="12.75">
      <c r="A13" s="99"/>
      <c r="B13" s="100"/>
      <c r="C13" s="201" t="s">
        <v>198</v>
      </c>
      <c r="D13" s="102">
        <f>J13/G13/1.15</f>
        <v>3.525888870236696</v>
      </c>
      <c r="E13" s="102">
        <f>I13/G13/1.15</f>
        <v>6.294096581053104</v>
      </c>
      <c r="F13" s="103">
        <f>F14</f>
        <v>4172</v>
      </c>
      <c r="G13" s="103">
        <f aca="true" t="shared" si="3" ref="G13:V13">G14</f>
        <v>3885</v>
      </c>
      <c r="H13" s="103"/>
      <c r="I13" s="105">
        <f t="shared" si="3"/>
        <v>28120.45</v>
      </c>
      <c r="J13" s="105">
        <f t="shared" si="3"/>
        <v>15752.789999999999</v>
      </c>
      <c r="K13" s="105">
        <f t="shared" si="3"/>
        <v>8013.460000000001</v>
      </c>
      <c r="L13" s="105">
        <f t="shared" si="3"/>
        <v>247.93</v>
      </c>
      <c r="M13" s="105">
        <f t="shared" si="3"/>
        <v>276.78</v>
      </c>
      <c r="N13" s="105">
        <f t="shared" si="3"/>
        <v>147.68</v>
      </c>
      <c r="O13" s="105">
        <f t="shared" si="3"/>
        <v>5174.33</v>
      </c>
      <c r="P13" s="105">
        <f t="shared" si="3"/>
        <v>0</v>
      </c>
      <c r="Q13" s="105">
        <f t="shared" si="3"/>
        <v>0</v>
      </c>
      <c r="R13" s="105">
        <f t="shared" si="3"/>
        <v>0</v>
      </c>
      <c r="S13" s="105">
        <f t="shared" si="3"/>
        <v>40.84</v>
      </c>
      <c r="T13" s="105">
        <f t="shared" si="3"/>
        <v>1965.22</v>
      </c>
      <c r="U13" s="105">
        <f t="shared" si="3"/>
        <v>160.68</v>
      </c>
      <c r="V13" s="105">
        <f t="shared" si="3"/>
        <v>4354.2</v>
      </c>
      <c r="W13" s="106">
        <f>+W14</f>
        <v>30212.739999999998</v>
      </c>
      <c r="X13" s="105">
        <f aca="true" t="shared" si="4" ref="X13:AL13">+X14</f>
        <v>16924.48</v>
      </c>
      <c r="Y13" s="105">
        <f t="shared" si="4"/>
        <v>8610.2</v>
      </c>
      <c r="Z13" s="105">
        <f t="shared" si="4"/>
        <v>266.37</v>
      </c>
      <c r="AA13" s="105">
        <f t="shared" si="4"/>
        <v>297.38</v>
      </c>
      <c r="AB13" s="105">
        <f t="shared" si="4"/>
        <v>158.67000000000002</v>
      </c>
      <c r="AC13" s="105">
        <f t="shared" si="4"/>
        <v>5559.88</v>
      </c>
      <c r="AD13" s="105">
        <f t="shared" si="4"/>
        <v>163.31</v>
      </c>
      <c r="AE13" s="105">
        <f t="shared" si="4"/>
        <v>0</v>
      </c>
      <c r="AF13" s="105">
        <f t="shared" si="4"/>
        <v>0</v>
      </c>
      <c r="AG13" s="105">
        <f t="shared" si="4"/>
        <v>43.88</v>
      </c>
      <c r="AH13" s="105">
        <f t="shared" si="4"/>
        <v>2111.39</v>
      </c>
      <c r="AI13" s="105">
        <f t="shared" si="4"/>
        <v>9.32</v>
      </c>
      <c r="AJ13" s="105">
        <f t="shared" si="4"/>
        <v>4678.0599999999995</v>
      </c>
      <c r="AK13" s="105">
        <f t="shared" si="4"/>
        <v>2092.2899999999972</v>
      </c>
      <c r="AL13" s="153">
        <f t="shared" si="4"/>
        <v>12553.739999999983</v>
      </c>
      <c r="AM13" s="107"/>
      <c r="AN13" s="107"/>
      <c r="AO13" s="107"/>
      <c r="AP13" s="107"/>
      <c r="AQ13" s="107"/>
      <c r="AR13" s="107"/>
    </row>
    <row r="14" spans="1:44" s="115" customFormat="1" ht="12.75">
      <c r="A14" s="99"/>
      <c r="B14" s="110"/>
      <c r="C14" s="112" t="s">
        <v>113</v>
      </c>
      <c r="D14" s="102">
        <f aca="true" t="shared" si="5" ref="D14:D100">J14/G14/1.15</f>
        <v>3.525888870236696</v>
      </c>
      <c r="E14" s="102">
        <f aca="true" t="shared" si="6" ref="E14:E100">I14/G14/1.15</f>
        <v>6.294096581053104</v>
      </c>
      <c r="F14" s="112">
        <v>4172</v>
      </c>
      <c r="G14" s="112">
        <v>3885</v>
      </c>
      <c r="H14" s="141">
        <f>+I14*12</f>
        <v>337445.4</v>
      </c>
      <c r="I14" s="105">
        <f>+SUM(J14:K14,V14)</f>
        <v>28120.45</v>
      </c>
      <c r="J14" s="113">
        <f>16090.55-337.76</f>
        <v>15752.789999999999</v>
      </c>
      <c r="K14" s="113">
        <f>+SUM(L14:U14)</f>
        <v>8013.460000000001</v>
      </c>
      <c r="L14" s="113">
        <v>247.93</v>
      </c>
      <c r="M14" s="113">
        <f>288.52-11.74</f>
        <v>276.78</v>
      </c>
      <c r="N14" s="113">
        <f>159.87-12.19</f>
        <v>147.68</v>
      </c>
      <c r="O14" s="113">
        <f>5177.33-3</f>
        <v>5174.33</v>
      </c>
      <c r="P14" s="113">
        <v>0</v>
      </c>
      <c r="Q14" s="113">
        <v>0</v>
      </c>
      <c r="R14" s="113">
        <v>0</v>
      </c>
      <c r="S14" s="113">
        <f>45.13-4.29</f>
        <v>40.84</v>
      </c>
      <c r="T14" s="113">
        <f>1966.22-1</f>
        <v>1965.22</v>
      </c>
      <c r="U14" s="113">
        <f>8.68+152</f>
        <v>160.68</v>
      </c>
      <c r="V14" s="113">
        <f>4441.24-87.04</f>
        <v>4354.2</v>
      </c>
      <c r="W14" s="106">
        <f>+SUM(X14:Y14,AJ14)</f>
        <v>30212.739999999998</v>
      </c>
      <c r="X14" s="113">
        <f>17287.36-362.88</f>
        <v>16924.48</v>
      </c>
      <c r="Y14" s="113">
        <f>+SUM(Z14:AI14)</f>
        <v>8610.2</v>
      </c>
      <c r="Z14" s="113">
        <v>266.37</v>
      </c>
      <c r="AA14" s="113">
        <f>309.99-12.61</f>
        <v>297.38</v>
      </c>
      <c r="AB14" s="113">
        <f>171.77-13.1</f>
        <v>158.67000000000002</v>
      </c>
      <c r="AC14" s="113">
        <f>5563.1-3.22</f>
        <v>5559.88</v>
      </c>
      <c r="AD14" s="113">
        <v>163.31</v>
      </c>
      <c r="AE14" s="113">
        <v>0</v>
      </c>
      <c r="AF14" s="113">
        <v>0</v>
      </c>
      <c r="AG14" s="113">
        <f>48.49-4.61</f>
        <v>43.88</v>
      </c>
      <c r="AH14" s="113">
        <f>2112.46-1.07</f>
        <v>2111.39</v>
      </c>
      <c r="AI14" s="113">
        <f>9.32</f>
        <v>9.32</v>
      </c>
      <c r="AJ14" s="113">
        <f>4771.58-93.52</f>
        <v>4678.0599999999995</v>
      </c>
      <c r="AK14" s="113">
        <f>+W14-I14</f>
        <v>2092.2899999999972</v>
      </c>
      <c r="AL14" s="151">
        <f>+AK14*6</f>
        <v>12553.739999999983</v>
      </c>
      <c r="AM14" s="114"/>
      <c r="AN14" s="114"/>
      <c r="AO14" s="114"/>
      <c r="AP14" s="114"/>
      <c r="AQ14" s="114"/>
      <c r="AR14" s="114"/>
    </row>
    <row r="15" spans="1:44" s="143" customFormat="1" ht="26.25" customHeight="1">
      <c r="A15" s="99"/>
      <c r="B15" s="110"/>
      <c r="C15" s="188" t="s">
        <v>23</v>
      </c>
      <c r="D15" s="102"/>
      <c r="E15" s="102"/>
      <c r="F15" s="112"/>
      <c r="G15" s="112"/>
      <c r="H15" s="112"/>
      <c r="I15" s="105"/>
      <c r="J15" s="113"/>
      <c r="K15" s="113"/>
      <c r="L15" s="113"/>
      <c r="M15" s="113"/>
      <c r="N15" s="113"/>
      <c r="O15" s="113"/>
      <c r="P15" s="113"/>
      <c r="Q15" s="113"/>
      <c r="R15" s="113"/>
      <c r="S15" s="113"/>
      <c r="T15" s="113"/>
      <c r="U15" s="113"/>
      <c r="V15" s="113"/>
      <c r="W15" s="106"/>
      <c r="X15" s="113"/>
      <c r="Y15" s="113"/>
      <c r="Z15" s="113"/>
      <c r="AA15" s="113"/>
      <c r="AB15" s="113"/>
      <c r="AC15" s="113"/>
      <c r="AD15" s="113"/>
      <c r="AE15" s="113"/>
      <c r="AF15" s="113"/>
      <c r="AG15" s="113"/>
      <c r="AH15" s="113"/>
      <c r="AI15" s="113"/>
      <c r="AJ15" s="113"/>
      <c r="AK15" s="113"/>
      <c r="AL15" s="151"/>
      <c r="AM15" s="142"/>
      <c r="AN15" s="142"/>
      <c r="AO15" s="142"/>
      <c r="AP15" s="142"/>
      <c r="AQ15" s="142"/>
      <c r="AR15" s="142"/>
    </row>
    <row r="16" spans="1:44" s="109" customFormat="1" ht="12.75">
      <c r="A16" s="99"/>
      <c r="B16" s="100"/>
      <c r="C16" s="201" t="s">
        <v>199</v>
      </c>
      <c r="D16" s="102">
        <f t="shared" si="5"/>
        <v>2.01133279985774</v>
      </c>
      <c r="E16" s="102">
        <f t="shared" si="6"/>
        <v>3.3335200497910558</v>
      </c>
      <c r="F16" s="103">
        <f>+SUM(F17:F27)</f>
        <v>916</v>
      </c>
      <c r="G16" s="103">
        <f aca="true" t="shared" si="7" ref="G16:V16">+SUM(G17:G27)</f>
        <v>978</v>
      </c>
      <c r="H16" s="103"/>
      <c r="I16" s="105">
        <f t="shared" si="7"/>
        <v>3749.21</v>
      </c>
      <c r="J16" s="105">
        <f t="shared" si="7"/>
        <v>2262.146</v>
      </c>
      <c r="K16" s="105">
        <f t="shared" si="7"/>
        <v>863.249</v>
      </c>
      <c r="L16" s="105">
        <f t="shared" si="7"/>
        <v>6.23</v>
      </c>
      <c r="M16" s="105">
        <f t="shared" si="7"/>
        <v>52.031</v>
      </c>
      <c r="N16" s="105">
        <f t="shared" si="7"/>
        <v>15.86</v>
      </c>
      <c r="O16" s="105">
        <f t="shared" si="7"/>
        <v>571.06</v>
      </c>
      <c r="P16" s="105">
        <f t="shared" si="7"/>
        <v>0</v>
      </c>
      <c r="Q16" s="105">
        <f t="shared" si="7"/>
        <v>0</v>
      </c>
      <c r="R16" s="105">
        <f t="shared" si="7"/>
        <v>1.6</v>
      </c>
      <c r="S16" s="105">
        <f t="shared" si="7"/>
        <v>9.643</v>
      </c>
      <c r="T16" s="105">
        <f t="shared" si="7"/>
        <v>181.54199999999997</v>
      </c>
      <c r="U16" s="105">
        <f t="shared" si="7"/>
        <v>25.282999999999994</v>
      </c>
      <c r="V16" s="105">
        <f t="shared" si="7"/>
        <v>623.815</v>
      </c>
      <c r="W16" s="106">
        <f>+SUM(W17:W27)</f>
        <v>4012.2349999999997</v>
      </c>
      <c r="X16" s="105">
        <f aca="true" t="shared" si="8" ref="X16:AK16">+SUM(X17:X27)</f>
        <v>2411.179</v>
      </c>
      <c r="Y16" s="105">
        <f t="shared" si="8"/>
        <v>932.5980000000001</v>
      </c>
      <c r="Z16" s="105">
        <f t="shared" si="8"/>
        <v>0</v>
      </c>
      <c r="AA16" s="105">
        <f t="shared" si="8"/>
        <v>65.49</v>
      </c>
      <c r="AB16" s="105">
        <f t="shared" si="8"/>
        <v>17.119</v>
      </c>
      <c r="AC16" s="105">
        <f t="shared" si="8"/>
        <v>579.806</v>
      </c>
      <c r="AD16" s="105">
        <f t="shared" si="8"/>
        <v>35.21</v>
      </c>
      <c r="AE16" s="105">
        <f t="shared" si="8"/>
        <v>0</v>
      </c>
      <c r="AF16" s="105">
        <f t="shared" si="8"/>
        <v>1.6</v>
      </c>
      <c r="AG16" s="105">
        <f t="shared" si="8"/>
        <v>7.1899999999999995</v>
      </c>
      <c r="AH16" s="105">
        <f t="shared" si="8"/>
        <v>199.16700000000003</v>
      </c>
      <c r="AI16" s="105">
        <f t="shared" si="8"/>
        <v>27.016000000000002</v>
      </c>
      <c r="AJ16" s="105">
        <f t="shared" si="8"/>
        <v>668.458</v>
      </c>
      <c r="AK16" s="105">
        <f t="shared" si="8"/>
        <v>263.025</v>
      </c>
      <c r="AL16" s="153">
        <f>+SUM(AL17:AL27)</f>
        <v>1578.1499999999999</v>
      </c>
      <c r="AM16" s="107"/>
      <c r="AN16" s="107"/>
      <c r="AO16" s="107"/>
      <c r="AP16" s="107"/>
      <c r="AQ16" s="107"/>
      <c r="AR16" s="107"/>
    </row>
    <row r="17" spans="1:44" s="143" customFormat="1" ht="12.75">
      <c r="A17" s="99"/>
      <c r="B17" s="110"/>
      <c r="C17" s="159" t="s">
        <v>200</v>
      </c>
      <c r="D17" s="102" t="e">
        <f t="shared" si="5"/>
        <v>#DIV/0!</v>
      </c>
      <c r="E17" s="102" t="e">
        <f t="shared" si="6"/>
        <v>#DIV/0!</v>
      </c>
      <c r="F17" s="112">
        <v>0</v>
      </c>
      <c r="G17" s="112">
        <v>0</v>
      </c>
      <c r="H17" s="112"/>
      <c r="I17" s="105">
        <f aca="true" t="shared" si="9" ref="I17:I27">+SUM(J17:K17,V17)</f>
        <v>0</v>
      </c>
      <c r="J17" s="113">
        <v>0</v>
      </c>
      <c r="K17" s="113">
        <f aca="true" t="shared" si="10" ref="K17:K25">+SUM(L17:U17)</f>
        <v>0</v>
      </c>
      <c r="L17" s="113">
        <v>0</v>
      </c>
      <c r="M17" s="113">
        <v>0</v>
      </c>
      <c r="N17" s="113">
        <v>0</v>
      </c>
      <c r="O17" s="113">
        <v>0</v>
      </c>
      <c r="P17" s="113">
        <v>0</v>
      </c>
      <c r="Q17" s="113">
        <v>0</v>
      </c>
      <c r="R17" s="113">
        <v>0</v>
      </c>
      <c r="S17" s="113">
        <v>0</v>
      </c>
      <c r="T17" s="113">
        <v>0</v>
      </c>
      <c r="U17" s="113">
        <v>0</v>
      </c>
      <c r="V17" s="113">
        <f>+SUM(J17,K17)*0.18</f>
        <v>0</v>
      </c>
      <c r="W17" s="106">
        <f aca="true" t="shared" si="11" ref="W17:W26">+SUM(X17:Y17,AJ17)</f>
        <v>0</v>
      </c>
      <c r="X17" s="113">
        <v>0</v>
      </c>
      <c r="Y17" s="113">
        <f aca="true" t="shared" si="12" ref="Y17:Y26">+SUM(Z17:AI17)</f>
        <v>0</v>
      </c>
      <c r="Z17" s="113">
        <v>0</v>
      </c>
      <c r="AA17" s="113">
        <v>0</v>
      </c>
      <c r="AB17" s="113">
        <v>0</v>
      </c>
      <c r="AC17" s="113">
        <v>0</v>
      </c>
      <c r="AD17" s="113">
        <v>0</v>
      </c>
      <c r="AE17" s="113">
        <v>0</v>
      </c>
      <c r="AF17" s="113">
        <v>0</v>
      </c>
      <c r="AG17" s="113">
        <v>0</v>
      </c>
      <c r="AH17" s="113">
        <v>0</v>
      </c>
      <c r="AI17" s="113">
        <v>0</v>
      </c>
      <c r="AJ17" s="113">
        <f>+SUM(X17,Y17)*0.18</f>
        <v>0</v>
      </c>
      <c r="AK17" s="113">
        <f aca="true" t="shared" si="13" ref="AK17:AK27">+W17-I17</f>
        <v>0</v>
      </c>
      <c r="AL17" s="151">
        <f>+AK17*8</f>
        <v>0</v>
      </c>
      <c r="AM17" s="142"/>
      <c r="AN17" s="142"/>
      <c r="AO17" s="142"/>
      <c r="AP17" s="142"/>
      <c r="AQ17" s="142"/>
      <c r="AR17" s="142"/>
    </row>
    <row r="18" spans="1:44" s="143" customFormat="1" ht="12.75">
      <c r="A18" s="99"/>
      <c r="B18" s="110" t="s">
        <v>158</v>
      </c>
      <c r="C18" s="159" t="s">
        <v>201</v>
      </c>
      <c r="D18" s="102">
        <f t="shared" si="5"/>
        <v>4.198757763975156</v>
      </c>
      <c r="E18" s="102">
        <f t="shared" si="6"/>
        <v>8.104347826086958</v>
      </c>
      <c r="F18" s="112">
        <v>55</v>
      </c>
      <c r="G18" s="112">
        <v>35</v>
      </c>
      <c r="H18" s="112"/>
      <c r="I18" s="105">
        <f t="shared" si="9"/>
        <v>326.2</v>
      </c>
      <c r="J18" s="113">
        <v>169</v>
      </c>
      <c r="K18" s="113">
        <f>+SUM(L18:U18)</f>
        <v>87.2</v>
      </c>
      <c r="L18" s="113">
        <v>0</v>
      </c>
      <c r="M18" s="113">
        <v>9.2</v>
      </c>
      <c r="N18" s="113">
        <v>0</v>
      </c>
      <c r="O18" s="113">
        <v>49</v>
      </c>
      <c r="P18" s="113">
        <v>0</v>
      </c>
      <c r="Q18" s="113">
        <v>0</v>
      </c>
      <c r="R18" s="113">
        <v>0</v>
      </c>
      <c r="S18" s="113">
        <v>3</v>
      </c>
      <c r="T18" s="113">
        <v>22</v>
      </c>
      <c r="U18" s="113">
        <v>4</v>
      </c>
      <c r="V18" s="113">
        <v>70</v>
      </c>
      <c r="W18" s="106">
        <f t="shared" si="11"/>
        <v>351.5</v>
      </c>
      <c r="X18" s="113">
        <v>181</v>
      </c>
      <c r="Y18" s="113">
        <f t="shared" si="12"/>
        <v>98.5</v>
      </c>
      <c r="Z18" s="113">
        <v>0</v>
      </c>
      <c r="AA18" s="113">
        <v>12.5</v>
      </c>
      <c r="AB18" s="113">
        <v>0</v>
      </c>
      <c r="AC18" s="113">
        <v>52</v>
      </c>
      <c r="AD18" s="113">
        <v>0</v>
      </c>
      <c r="AE18" s="113">
        <v>0</v>
      </c>
      <c r="AF18" s="113">
        <v>0</v>
      </c>
      <c r="AG18" s="113">
        <v>3.5</v>
      </c>
      <c r="AH18" s="113">
        <v>25</v>
      </c>
      <c r="AI18" s="113">
        <v>5.5</v>
      </c>
      <c r="AJ18" s="113">
        <v>72</v>
      </c>
      <c r="AK18" s="113">
        <f>+W18-I18</f>
        <v>25.30000000000001</v>
      </c>
      <c r="AL18" s="151">
        <f aca="true" t="shared" si="14" ref="AL18:AL27">+AK18*6</f>
        <v>151.80000000000007</v>
      </c>
      <c r="AM18" s="142"/>
      <c r="AN18" s="142"/>
      <c r="AO18" s="142"/>
      <c r="AP18" s="142"/>
      <c r="AQ18" s="142"/>
      <c r="AR18" s="142"/>
    </row>
    <row r="19" spans="1:44" s="143" customFormat="1" ht="12.75">
      <c r="A19" s="99"/>
      <c r="B19" s="110"/>
      <c r="C19" s="255" t="s">
        <v>202</v>
      </c>
      <c r="D19" s="102">
        <f t="shared" si="5"/>
        <v>2.740447957839262</v>
      </c>
      <c r="E19" s="102">
        <f t="shared" si="6"/>
        <v>4.693017127799737</v>
      </c>
      <c r="F19" s="112">
        <v>39</v>
      </c>
      <c r="G19" s="112">
        <v>33</v>
      </c>
      <c r="H19" s="112"/>
      <c r="I19" s="105">
        <f t="shared" si="9"/>
        <v>178.10000000000002</v>
      </c>
      <c r="J19" s="113">
        <v>104</v>
      </c>
      <c r="K19" s="113">
        <f t="shared" si="10"/>
        <v>37.400000000000006</v>
      </c>
      <c r="L19" s="113">
        <v>0</v>
      </c>
      <c r="M19" s="113">
        <v>4</v>
      </c>
      <c r="N19" s="113">
        <v>0</v>
      </c>
      <c r="O19" s="113">
        <v>26.3</v>
      </c>
      <c r="P19" s="113">
        <v>0</v>
      </c>
      <c r="Q19" s="113">
        <v>0</v>
      </c>
      <c r="R19" s="113">
        <v>1.6</v>
      </c>
      <c r="S19" s="113">
        <v>0</v>
      </c>
      <c r="T19" s="113">
        <v>5.3</v>
      </c>
      <c r="U19" s="113">
        <v>0.2</v>
      </c>
      <c r="V19" s="113">
        <v>36.7</v>
      </c>
      <c r="W19" s="106">
        <f t="shared" si="11"/>
        <v>188.6</v>
      </c>
      <c r="X19" s="113">
        <v>112</v>
      </c>
      <c r="Y19" s="113">
        <f t="shared" si="12"/>
        <v>39.6</v>
      </c>
      <c r="Z19" s="113">
        <v>0</v>
      </c>
      <c r="AA19" s="113">
        <v>4.8</v>
      </c>
      <c r="AB19" s="113">
        <v>0</v>
      </c>
      <c r="AC19" s="113">
        <v>27</v>
      </c>
      <c r="AD19" s="113">
        <v>0</v>
      </c>
      <c r="AE19" s="113">
        <v>0</v>
      </c>
      <c r="AF19" s="113">
        <v>1.6</v>
      </c>
      <c r="AG19" s="113">
        <v>0</v>
      </c>
      <c r="AH19" s="113">
        <v>6</v>
      </c>
      <c r="AI19" s="113">
        <v>0.2</v>
      </c>
      <c r="AJ19" s="113">
        <v>37</v>
      </c>
      <c r="AK19" s="113">
        <f t="shared" si="13"/>
        <v>10.499999999999972</v>
      </c>
      <c r="AL19" s="151">
        <f t="shared" si="14"/>
        <v>62.99999999999983</v>
      </c>
      <c r="AM19" s="142"/>
      <c r="AN19" s="142"/>
      <c r="AO19" s="142"/>
      <c r="AP19" s="142"/>
      <c r="AQ19" s="142"/>
      <c r="AR19" s="142"/>
    </row>
    <row r="20" spans="1:44" s="143" customFormat="1" ht="15">
      <c r="A20" s="99"/>
      <c r="B20" s="110"/>
      <c r="C20" s="159" t="s">
        <v>203</v>
      </c>
      <c r="D20" s="102">
        <f t="shared" si="5"/>
        <v>3.606695652173913</v>
      </c>
      <c r="E20" s="102">
        <f t="shared" si="6"/>
        <v>6.464652173913044</v>
      </c>
      <c r="F20" s="112">
        <v>43</v>
      </c>
      <c r="G20" s="112">
        <v>40</v>
      </c>
      <c r="H20" s="112"/>
      <c r="I20" s="105">
        <f t="shared" si="9"/>
        <v>297.374</v>
      </c>
      <c r="J20" s="113">
        <v>165.908</v>
      </c>
      <c r="K20" s="113">
        <f>+SUM(M20:U20)</f>
        <v>87.592</v>
      </c>
      <c r="M20" s="113">
        <v>6.232</v>
      </c>
      <c r="N20" s="113">
        <v>1.921</v>
      </c>
      <c r="O20" s="113">
        <v>62.745</v>
      </c>
      <c r="P20" s="113">
        <v>0</v>
      </c>
      <c r="Q20" s="113">
        <v>0</v>
      </c>
      <c r="R20" s="113">
        <v>0</v>
      </c>
      <c r="S20" s="113">
        <v>0</v>
      </c>
      <c r="T20" s="113">
        <v>16.694</v>
      </c>
      <c r="U20" s="113">
        <v>0</v>
      </c>
      <c r="V20" s="113">
        <v>43.874</v>
      </c>
      <c r="W20" s="106">
        <f t="shared" si="11"/>
        <v>319.492</v>
      </c>
      <c r="X20" s="185">
        <v>178.248</v>
      </c>
      <c r="Y20" s="113">
        <f t="shared" si="12"/>
        <v>94.107</v>
      </c>
      <c r="Z20" s="185">
        <v>0</v>
      </c>
      <c r="AA20" s="185">
        <v>6.695</v>
      </c>
      <c r="AB20" s="185">
        <v>2.064</v>
      </c>
      <c r="AC20" s="185">
        <v>67.412</v>
      </c>
      <c r="AD20" s="185">
        <v>0</v>
      </c>
      <c r="AE20" s="185">
        <v>0</v>
      </c>
      <c r="AF20" s="185">
        <v>0</v>
      </c>
      <c r="AG20" s="185">
        <v>0</v>
      </c>
      <c r="AH20" s="185">
        <v>17.936</v>
      </c>
      <c r="AI20" s="185">
        <v>0</v>
      </c>
      <c r="AJ20" s="185">
        <v>47.137</v>
      </c>
      <c r="AK20" s="113">
        <f t="shared" si="13"/>
        <v>22.117999999999995</v>
      </c>
      <c r="AL20" s="151">
        <f t="shared" si="14"/>
        <v>132.70799999999997</v>
      </c>
      <c r="AM20" s="142"/>
      <c r="AN20" s="142"/>
      <c r="AO20" s="142"/>
      <c r="AP20" s="142"/>
      <c r="AQ20" s="142"/>
      <c r="AR20" s="142"/>
    </row>
    <row r="21" spans="1:44" s="143" customFormat="1" ht="15">
      <c r="A21" s="99"/>
      <c r="B21" s="110"/>
      <c r="C21" s="159" t="s">
        <v>350</v>
      </c>
      <c r="D21" s="102"/>
      <c r="E21" s="102"/>
      <c r="F21" s="112">
        <v>56</v>
      </c>
      <c r="G21" s="112">
        <v>48</v>
      </c>
      <c r="H21" s="112"/>
      <c r="I21" s="105">
        <f t="shared" si="9"/>
        <v>251.74</v>
      </c>
      <c r="J21" s="113">
        <v>162.47</v>
      </c>
      <c r="K21" s="113">
        <f>SUM(L21:U21)</f>
        <v>47.66</v>
      </c>
      <c r="L21" s="202">
        <v>6.23</v>
      </c>
      <c r="M21" s="113"/>
      <c r="N21" s="113"/>
      <c r="O21" s="113">
        <v>31.24</v>
      </c>
      <c r="P21" s="113"/>
      <c r="Q21" s="113"/>
      <c r="R21" s="113"/>
      <c r="S21" s="113">
        <v>0.48</v>
      </c>
      <c r="T21" s="113">
        <v>8.35</v>
      </c>
      <c r="U21" s="113">
        <v>1.36</v>
      </c>
      <c r="V21" s="113">
        <v>41.61</v>
      </c>
      <c r="W21" s="106">
        <f t="shared" si="11"/>
        <v>272.06</v>
      </c>
      <c r="X21" s="185">
        <v>174.55</v>
      </c>
      <c r="Y21" s="113">
        <f t="shared" si="12"/>
        <v>52.910000000000004</v>
      </c>
      <c r="Z21" s="185"/>
      <c r="AA21" s="185">
        <v>6.7</v>
      </c>
      <c r="AB21" s="185"/>
      <c r="AC21" s="185"/>
      <c r="AD21" s="185">
        <v>35.21</v>
      </c>
      <c r="AE21" s="185"/>
      <c r="AF21" s="185"/>
      <c r="AG21" s="185">
        <v>0.5</v>
      </c>
      <c r="AH21" s="185">
        <v>9</v>
      </c>
      <c r="AI21" s="185">
        <v>1.5</v>
      </c>
      <c r="AJ21" s="185">
        <v>44.6</v>
      </c>
      <c r="AK21" s="113">
        <f t="shared" si="13"/>
        <v>20.319999999999993</v>
      </c>
      <c r="AL21" s="151">
        <f t="shared" si="14"/>
        <v>121.91999999999996</v>
      </c>
      <c r="AM21" s="142"/>
      <c r="AN21" s="142"/>
      <c r="AO21" s="142"/>
      <c r="AP21" s="142"/>
      <c r="AQ21" s="142"/>
      <c r="AR21" s="142"/>
    </row>
    <row r="22" spans="1:44" s="143" customFormat="1" ht="25.5">
      <c r="A22" s="99"/>
      <c r="B22" s="110"/>
      <c r="C22" s="159" t="s">
        <v>346</v>
      </c>
      <c r="D22" s="102">
        <f t="shared" si="5"/>
        <v>3.0509988249118685</v>
      </c>
      <c r="E22" s="102">
        <f t="shared" si="6"/>
        <v>5.599153936545242</v>
      </c>
      <c r="F22" s="112">
        <v>39</v>
      </c>
      <c r="G22" s="112">
        <v>37</v>
      </c>
      <c r="H22" s="112"/>
      <c r="I22" s="105">
        <f t="shared" si="9"/>
        <v>238.244</v>
      </c>
      <c r="J22" s="113">
        <v>129.82</v>
      </c>
      <c r="K22" s="113">
        <f t="shared" si="10"/>
        <v>77.28800000000001</v>
      </c>
      <c r="L22" s="113">
        <v>0</v>
      </c>
      <c r="M22" s="113">
        <v>2.965</v>
      </c>
      <c r="N22" s="113">
        <v>0.482</v>
      </c>
      <c r="O22" s="113">
        <v>59.149</v>
      </c>
      <c r="P22" s="113">
        <v>0</v>
      </c>
      <c r="Q22" s="113">
        <v>0</v>
      </c>
      <c r="R22" s="113">
        <v>0</v>
      </c>
      <c r="S22" s="113">
        <v>0.363</v>
      </c>
      <c r="T22" s="113">
        <v>2.108</v>
      </c>
      <c r="U22" s="113">
        <v>12.221</v>
      </c>
      <c r="V22" s="113">
        <v>31.136</v>
      </c>
      <c r="W22" s="106">
        <f t="shared" si="11"/>
        <v>255.96499999999997</v>
      </c>
      <c r="X22" s="185">
        <v>139.476</v>
      </c>
      <c r="Y22" s="113">
        <f t="shared" si="12"/>
        <v>83.03699999999999</v>
      </c>
      <c r="Z22" s="185">
        <v>0</v>
      </c>
      <c r="AA22" s="185">
        <v>3.185</v>
      </c>
      <c r="AB22" s="185">
        <v>0.518</v>
      </c>
      <c r="AC22" s="185">
        <v>63.549</v>
      </c>
      <c r="AD22" s="185">
        <v>0</v>
      </c>
      <c r="AE22" s="185">
        <v>0</v>
      </c>
      <c r="AF22" s="185">
        <v>0</v>
      </c>
      <c r="AG22" s="185">
        <v>0.39</v>
      </c>
      <c r="AH22" s="185">
        <v>2.265</v>
      </c>
      <c r="AI22" s="185">
        <v>13.13</v>
      </c>
      <c r="AJ22" s="185">
        <v>33.452</v>
      </c>
      <c r="AK22" s="113">
        <f t="shared" si="13"/>
        <v>17.720999999999975</v>
      </c>
      <c r="AL22" s="151">
        <f t="shared" si="14"/>
        <v>106.32599999999985</v>
      </c>
      <c r="AM22" s="142"/>
      <c r="AN22" s="142"/>
      <c r="AO22" s="142"/>
      <c r="AP22" s="142"/>
      <c r="AQ22" s="142"/>
      <c r="AR22" s="142"/>
    </row>
    <row r="23" spans="1:44" s="143" customFormat="1" ht="25.5">
      <c r="A23" s="99"/>
      <c r="B23" s="110"/>
      <c r="C23" s="159" t="s">
        <v>204</v>
      </c>
      <c r="D23" s="102">
        <f t="shared" si="5"/>
        <v>6.808961352657006</v>
      </c>
      <c r="E23" s="102">
        <f t="shared" si="6"/>
        <v>9.604251207729469</v>
      </c>
      <c r="F23" s="112">
        <v>36</v>
      </c>
      <c r="G23" s="112">
        <v>36</v>
      </c>
      <c r="H23" s="112"/>
      <c r="I23" s="105">
        <f t="shared" si="9"/>
        <v>397.616</v>
      </c>
      <c r="J23" s="113">
        <v>281.891</v>
      </c>
      <c r="K23" s="113">
        <f t="shared" si="10"/>
        <v>52.38999999999999</v>
      </c>
      <c r="L23" s="113">
        <v>0</v>
      </c>
      <c r="M23" s="113"/>
      <c r="N23" s="113">
        <v>0.903</v>
      </c>
      <c r="O23" s="113">
        <v>34.782</v>
      </c>
      <c r="P23" s="113">
        <v>0</v>
      </c>
      <c r="Q23" s="113">
        <v>0</v>
      </c>
      <c r="R23" s="113"/>
      <c r="S23" s="113">
        <v>0</v>
      </c>
      <c r="T23" s="113">
        <v>15.616</v>
      </c>
      <c r="U23" s="113">
        <f>1.089</f>
        <v>1.089</v>
      </c>
      <c r="V23" s="113">
        <v>63.335</v>
      </c>
      <c r="W23" s="106">
        <f t="shared" si="11"/>
        <v>414.52</v>
      </c>
      <c r="X23" s="113">
        <v>285.887</v>
      </c>
      <c r="Y23" s="113">
        <f t="shared" si="12"/>
        <v>58.397999999999996</v>
      </c>
      <c r="Z23" s="113">
        <v>0</v>
      </c>
      <c r="AA23" s="113">
        <v>0.39</v>
      </c>
      <c r="AB23" s="113">
        <v>0.971</v>
      </c>
      <c r="AC23" s="113">
        <v>38.523</v>
      </c>
      <c r="AD23" s="113">
        <v>0</v>
      </c>
      <c r="AE23" s="113">
        <v>0</v>
      </c>
      <c r="AF23" s="113"/>
      <c r="AG23" s="113">
        <v>0</v>
      </c>
      <c r="AH23" s="113">
        <v>18.514</v>
      </c>
      <c r="AI23" s="113">
        <v>0</v>
      </c>
      <c r="AJ23" s="113">
        <v>70.235</v>
      </c>
      <c r="AK23" s="113">
        <f t="shared" si="13"/>
        <v>16.903999999999996</v>
      </c>
      <c r="AL23" s="151">
        <f t="shared" si="14"/>
        <v>101.42399999999998</v>
      </c>
      <c r="AM23" s="142"/>
      <c r="AN23" s="142"/>
      <c r="AO23" s="142"/>
      <c r="AP23" s="142"/>
      <c r="AQ23" s="142"/>
      <c r="AR23" s="142"/>
    </row>
    <row r="24" spans="1:44" s="143" customFormat="1" ht="12.75">
      <c r="A24" s="99"/>
      <c r="B24" s="110"/>
      <c r="C24" s="159" t="s">
        <v>205</v>
      </c>
      <c r="D24" s="102">
        <f t="shared" si="5"/>
        <v>0</v>
      </c>
      <c r="E24" s="102">
        <f t="shared" si="6"/>
        <v>0</v>
      </c>
      <c r="F24" s="112">
        <v>435</v>
      </c>
      <c r="G24" s="112">
        <v>411</v>
      </c>
      <c r="H24" s="112"/>
      <c r="I24" s="105">
        <f t="shared" si="9"/>
        <v>0</v>
      </c>
      <c r="J24" s="113">
        <v>0</v>
      </c>
      <c r="K24" s="113">
        <f t="shared" si="10"/>
        <v>0</v>
      </c>
      <c r="L24" s="113">
        <v>0</v>
      </c>
      <c r="M24" s="113">
        <v>0</v>
      </c>
      <c r="N24" s="113">
        <v>0</v>
      </c>
      <c r="O24" s="113">
        <v>0</v>
      </c>
      <c r="P24" s="113">
        <v>0</v>
      </c>
      <c r="Q24" s="113">
        <v>0</v>
      </c>
      <c r="R24" s="113">
        <v>0</v>
      </c>
      <c r="S24" s="113">
        <v>0</v>
      </c>
      <c r="T24" s="113">
        <v>0</v>
      </c>
      <c r="U24" s="113">
        <v>0</v>
      </c>
      <c r="V24" s="113">
        <v>0</v>
      </c>
      <c r="W24" s="106">
        <f t="shared" si="11"/>
        <v>0</v>
      </c>
      <c r="X24" s="113">
        <v>0</v>
      </c>
      <c r="Y24" s="113">
        <f t="shared" si="12"/>
        <v>0</v>
      </c>
      <c r="Z24" s="113">
        <v>0</v>
      </c>
      <c r="AA24" s="113">
        <v>0</v>
      </c>
      <c r="AB24" s="113">
        <v>0</v>
      </c>
      <c r="AC24" s="113">
        <v>0</v>
      </c>
      <c r="AD24" s="113">
        <v>0</v>
      </c>
      <c r="AE24" s="113">
        <v>0</v>
      </c>
      <c r="AF24" s="113">
        <v>0</v>
      </c>
      <c r="AG24" s="113">
        <v>0</v>
      </c>
      <c r="AH24" s="113">
        <v>0</v>
      </c>
      <c r="AI24" s="113">
        <v>0</v>
      </c>
      <c r="AJ24" s="113">
        <v>0</v>
      </c>
      <c r="AK24" s="113">
        <f t="shared" si="13"/>
        <v>0</v>
      </c>
      <c r="AL24" s="151">
        <f t="shared" si="14"/>
        <v>0</v>
      </c>
      <c r="AM24" s="142"/>
      <c r="AN24" s="142"/>
      <c r="AO24" s="142"/>
      <c r="AP24" s="142"/>
      <c r="AQ24" s="142"/>
      <c r="AR24" s="142"/>
    </row>
    <row r="25" spans="1:44" s="143" customFormat="1" ht="12.75">
      <c r="A25" s="99"/>
      <c r="B25" s="110" t="s">
        <v>158</v>
      </c>
      <c r="C25" s="159" t="s">
        <v>206</v>
      </c>
      <c r="D25" s="102">
        <f t="shared" si="5"/>
        <v>3.2720753025549083</v>
      </c>
      <c r="E25" s="102">
        <f t="shared" si="6"/>
        <v>5.27956969968624</v>
      </c>
      <c r="F25" s="112">
        <v>75</v>
      </c>
      <c r="G25" s="112">
        <v>97</v>
      </c>
      <c r="H25" s="112"/>
      <c r="I25" s="105">
        <f t="shared" si="9"/>
        <v>588.936</v>
      </c>
      <c r="J25" s="113">
        <v>365</v>
      </c>
      <c r="K25" s="113">
        <f t="shared" si="10"/>
        <v>127.6</v>
      </c>
      <c r="L25" s="113">
        <v>0</v>
      </c>
      <c r="M25" s="113">
        <v>11</v>
      </c>
      <c r="N25" s="113">
        <v>4.3</v>
      </c>
      <c r="O25" s="113">
        <v>81</v>
      </c>
      <c r="P25" s="113">
        <v>0</v>
      </c>
      <c r="Q25" s="113">
        <v>0</v>
      </c>
      <c r="R25" s="113">
        <v>0</v>
      </c>
      <c r="S25" s="113">
        <v>2.5</v>
      </c>
      <c r="T25" s="113">
        <v>25.4</v>
      </c>
      <c r="U25" s="113">
        <v>3.4</v>
      </c>
      <c r="V25" s="113">
        <v>96.336</v>
      </c>
      <c r="W25" s="106">
        <f t="shared" si="11"/>
        <v>633.572</v>
      </c>
      <c r="X25" s="113">
        <v>392</v>
      </c>
      <c r="Y25" s="113">
        <f t="shared" si="12"/>
        <v>137.1</v>
      </c>
      <c r="Z25" s="113">
        <v>0</v>
      </c>
      <c r="AA25" s="113">
        <v>11.2</v>
      </c>
      <c r="AB25" s="113">
        <v>4.7</v>
      </c>
      <c r="AC25" s="113">
        <v>87.5</v>
      </c>
      <c r="AD25" s="113">
        <v>0</v>
      </c>
      <c r="AE25" s="113">
        <v>0</v>
      </c>
      <c r="AF25" s="113">
        <v>0</v>
      </c>
      <c r="AG25" s="113">
        <v>2.8</v>
      </c>
      <c r="AH25" s="113">
        <v>27.4</v>
      </c>
      <c r="AI25" s="113">
        <v>3.5</v>
      </c>
      <c r="AJ25" s="113">
        <v>104.472</v>
      </c>
      <c r="AK25" s="113">
        <f t="shared" si="13"/>
        <v>44.63599999999997</v>
      </c>
      <c r="AL25" s="151">
        <f t="shared" si="14"/>
        <v>267.8159999999998</v>
      </c>
      <c r="AM25" s="142"/>
      <c r="AN25" s="142"/>
      <c r="AO25" s="142"/>
      <c r="AP25" s="142"/>
      <c r="AQ25" s="142"/>
      <c r="AR25" s="142"/>
    </row>
    <row r="26" spans="1:44" s="143" customFormat="1" ht="12.75">
      <c r="A26" s="99"/>
      <c r="B26" s="110" t="s">
        <v>158</v>
      </c>
      <c r="C26" s="159" t="s">
        <v>207</v>
      </c>
      <c r="D26" s="102">
        <f t="shared" si="5"/>
        <v>3.5520943049601965</v>
      </c>
      <c r="E26" s="102">
        <f t="shared" si="6"/>
        <v>6.240232700551133</v>
      </c>
      <c r="F26" s="112">
        <v>75</v>
      </c>
      <c r="G26" s="112">
        <v>142</v>
      </c>
      <c r="H26" s="112"/>
      <c r="I26" s="105">
        <f t="shared" si="9"/>
        <v>1019.03</v>
      </c>
      <c r="J26" s="113">
        <f>359.648+220.409</f>
        <v>580.057</v>
      </c>
      <c r="K26" s="113">
        <f>+SUM(L26:U26)</f>
        <v>275.14899999999994</v>
      </c>
      <c r="L26" s="113">
        <v>0</v>
      </c>
      <c r="M26" s="113">
        <f>14.459+4.175</f>
        <v>18.634</v>
      </c>
      <c r="N26" s="113">
        <v>7.834</v>
      </c>
      <c r="O26" s="113">
        <f>113.065+56.779</f>
        <v>169.844</v>
      </c>
      <c r="P26" s="113">
        <v>0</v>
      </c>
      <c r="Q26" s="113">
        <v>0</v>
      </c>
      <c r="R26" s="113">
        <v>0</v>
      </c>
      <c r="S26" s="113">
        <v>0</v>
      </c>
      <c r="T26" s="113">
        <f>67.712+8.362</f>
        <v>76.074</v>
      </c>
      <c r="U26" s="113">
        <f>2.158+0.605</f>
        <v>2.763</v>
      </c>
      <c r="V26" s="113">
        <f>107.917+55.907</f>
        <v>163.824</v>
      </c>
      <c r="W26" s="106">
        <f t="shared" si="11"/>
        <v>1091.806</v>
      </c>
      <c r="X26" s="113">
        <f>386.828+234.19</f>
        <v>621.018</v>
      </c>
      <c r="Y26" s="113">
        <f t="shared" si="12"/>
        <v>295.226</v>
      </c>
      <c r="Z26" s="113">
        <v>0</v>
      </c>
      <c r="AA26" s="113">
        <f>15.535+4.485</f>
        <v>20.02</v>
      </c>
      <c r="AB26" s="113">
        <v>8.416</v>
      </c>
      <c r="AC26" s="113">
        <f>121.603+60.219</f>
        <v>181.822</v>
      </c>
      <c r="AD26" s="113">
        <v>0</v>
      </c>
      <c r="AE26" s="113">
        <v>0</v>
      </c>
      <c r="AF26" s="113">
        <v>0</v>
      </c>
      <c r="AG26" s="113">
        <v>0</v>
      </c>
      <c r="AH26" s="113">
        <f>72.986+9.066</f>
        <v>82.052</v>
      </c>
      <c r="AI26" s="113">
        <f>2.266+0.65</f>
        <v>2.916</v>
      </c>
      <c r="AJ26" s="113">
        <f>116.104+59.458</f>
        <v>175.562</v>
      </c>
      <c r="AK26" s="113">
        <f t="shared" si="13"/>
        <v>72.77600000000007</v>
      </c>
      <c r="AL26" s="151">
        <f t="shared" si="14"/>
        <v>436.6560000000004</v>
      </c>
      <c r="AM26" s="142"/>
      <c r="AN26" s="142"/>
      <c r="AO26" s="142"/>
      <c r="AP26" s="142"/>
      <c r="AQ26" s="142"/>
      <c r="AR26" s="142"/>
    </row>
    <row r="27" spans="1:44" s="268" customFormat="1" ht="25.5">
      <c r="A27" s="261"/>
      <c r="B27" s="262"/>
      <c r="C27" s="263" t="s">
        <v>208</v>
      </c>
      <c r="D27" s="264">
        <f t="shared" si="5"/>
        <v>2.6701800614844093</v>
      </c>
      <c r="E27" s="264">
        <f t="shared" si="6"/>
        <v>3.9698726394378574</v>
      </c>
      <c r="F27" s="265">
        <v>63</v>
      </c>
      <c r="G27" s="265">
        <v>99</v>
      </c>
      <c r="H27" s="265"/>
      <c r="I27" s="266">
        <f t="shared" si="9"/>
        <v>451.97</v>
      </c>
      <c r="J27" s="210">
        <v>304</v>
      </c>
      <c r="K27" s="210">
        <f>+SUM(L27:U27)</f>
        <v>70.97</v>
      </c>
      <c r="L27" s="210">
        <v>0</v>
      </c>
      <c r="M27" s="210">
        <v>0</v>
      </c>
      <c r="N27" s="210">
        <v>0.42</v>
      </c>
      <c r="O27" s="210">
        <v>57</v>
      </c>
      <c r="P27" s="210">
        <v>0</v>
      </c>
      <c r="Q27" s="210">
        <v>0</v>
      </c>
      <c r="R27" s="210">
        <v>0</v>
      </c>
      <c r="S27" s="210">
        <v>3.3</v>
      </c>
      <c r="T27" s="210">
        <v>10</v>
      </c>
      <c r="U27" s="210">
        <v>0.25</v>
      </c>
      <c r="V27" s="210">
        <v>77</v>
      </c>
      <c r="W27" s="211">
        <f aca="true" t="shared" si="15" ref="W27:W45">+SUM(X27:Y27,AJ27)</f>
        <v>484.72</v>
      </c>
      <c r="X27" s="210">
        <v>327</v>
      </c>
      <c r="Y27" s="210">
        <f>+SUM(Z27:AI27)</f>
        <v>73.72</v>
      </c>
      <c r="Z27" s="210">
        <v>0</v>
      </c>
      <c r="AA27" s="210">
        <v>0</v>
      </c>
      <c r="AB27" s="210">
        <v>0.45</v>
      </c>
      <c r="AC27" s="210">
        <v>62</v>
      </c>
      <c r="AD27" s="210">
        <v>0</v>
      </c>
      <c r="AE27" s="210">
        <v>0</v>
      </c>
      <c r="AF27" s="210">
        <v>0</v>
      </c>
      <c r="AG27" s="210">
        <v>0</v>
      </c>
      <c r="AH27" s="210">
        <v>11</v>
      </c>
      <c r="AI27" s="210">
        <v>0.27</v>
      </c>
      <c r="AJ27" s="210">
        <v>84</v>
      </c>
      <c r="AK27" s="210">
        <f t="shared" si="13"/>
        <v>32.75</v>
      </c>
      <c r="AL27" s="210">
        <f t="shared" si="14"/>
        <v>196.5</v>
      </c>
      <c r="AM27" s="267"/>
      <c r="AN27" s="267"/>
      <c r="AO27" s="267"/>
      <c r="AP27" s="267"/>
      <c r="AQ27" s="267"/>
      <c r="AR27" s="267"/>
    </row>
    <row r="28" spans="1:44" s="109" customFormat="1" ht="12.75">
      <c r="A28" s="99" t="s">
        <v>240</v>
      </c>
      <c r="B28" s="100" t="s">
        <v>24</v>
      </c>
      <c r="C28" s="103" t="s">
        <v>25</v>
      </c>
      <c r="D28" s="102"/>
      <c r="E28" s="102"/>
      <c r="F28" s="103">
        <f>+SUM(F29:F30)</f>
        <v>8662</v>
      </c>
      <c r="G28" s="103">
        <f aca="true" t="shared" si="16" ref="G28:AK28">+SUM(G29:G30)</f>
        <v>7898</v>
      </c>
      <c r="H28" s="103">
        <f t="shared" si="16"/>
        <v>0</v>
      </c>
      <c r="I28" s="105">
        <f t="shared" si="16"/>
        <v>46561.903000000006</v>
      </c>
      <c r="J28" s="105">
        <f t="shared" si="16"/>
        <v>27283.601</v>
      </c>
      <c r="K28" s="105">
        <f t="shared" si="16"/>
        <v>12816.426</v>
      </c>
      <c r="L28" s="105">
        <f t="shared" si="16"/>
        <v>163.59</v>
      </c>
      <c r="M28" s="105">
        <f t="shared" si="16"/>
        <v>546.435</v>
      </c>
      <c r="N28" s="105">
        <f t="shared" si="16"/>
        <v>299.43</v>
      </c>
      <c r="O28" s="105">
        <f t="shared" si="16"/>
        <v>11080.39</v>
      </c>
      <c r="P28" s="105">
        <f t="shared" si="16"/>
        <v>0</v>
      </c>
      <c r="Q28" s="105">
        <f t="shared" si="16"/>
        <v>0</v>
      </c>
      <c r="R28" s="105">
        <f t="shared" si="16"/>
        <v>0</v>
      </c>
      <c r="S28" s="105">
        <f t="shared" si="16"/>
        <v>1.441</v>
      </c>
      <c r="T28" s="105">
        <f t="shared" si="16"/>
        <v>0</v>
      </c>
      <c r="U28" s="105">
        <f t="shared" si="16"/>
        <v>725.1400000000001</v>
      </c>
      <c r="V28" s="105">
        <f t="shared" si="16"/>
        <v>6461.875999999999</v>
      </c>
      <c r="W28" s="105">
        <f t="shared" si="16"/>
        <v>50025.844000000005</v>
      </c>
      <c r="X28" s="105">
        <f t="shared" si="16"/>
        <v>29312.65</v>
      </c>
      <c r="Y28" s="105">
        <f t="shared" si="16"/>
        <v>13771.058</v>
      </c>
      <c r="Z28" s="105">
        <f t="shared" si="16"/>
        <v>175.76</v>
      </c>
      <c r="AA28" s="105">
        <f t="shared" si="16"/>
        <v>587.08</v>
      </c>
      <c r="AB28" s="105">
        <f t="shared" si="16"/>
        <v>321.7</v>
      </c>
      <c r="AC28" s="105">
        <f t="shared" si="16"/>
        <v>11905.808</v>
      </c>
      <c r="AD28" s="105">
        <f t="shared" si="16"/>
        <v>0</v>
      </c>
      <c r="AE28" s="105">
        <f t="shared" si="16"/>
        <v>0</v>
      </c>
      <c r="AF28" s="105">
        <f t="shared" si="16"/>
        <v>0</v>
      </c>
      <c r="AG28" s="105">
        <f t="shared" si="16"/>
        <v>1.65</v>
      </c>
      <c r="AH28" s="105">
        <f t="shared" si="16"/>
        <v>0</v>
      </c>
      <c r="AI28" s="105">
        <f t="shared" si="16"/>
        <v>779.0600000000001</v>
      </c>
      <c r="AJ28" s="105">
        <f t="shared" si="16"/>
        <v>6942.1359999999995</v>
      </c>
      <c r="AK28" s="105">
        <f t="shared" si="16"/>
        <v>3463.941000000005</v>
      </c>
      <c r="AL28" s="153">
        <f>+SUM(AL29:AL30)</f>
        <v>20783.64600000003</v>
      </c>
      <c r="AM28" s="107"/>
      <c r="AN28" s="107"/>
      <c r="AO28" s="107"/>
      <c r="AP28" s="107"/>
      <c r="AQ28" s="107"/>
      <c r="AR28" s="107"/>
    </row>
    <row r="29" spans="1:44" s="115" customFormat="1" ht="12.75">
      <c r="A29" s="197"/>
      <c r="B29" s="110"/>
      <c r="C29" s="112" t="s">
        <v>129</v>
      </c>
      <c r="D29" s="198">
        <f>J29/G29/1.15</f>
        <v>3.003247627455308</v>
      </c>
      <c r="E29" s="198">
        <f>I29/G29/1.15</f>
        <v>5.1241028470536305</v>
      </c>
      <c r="F29" s="112">
        <v>8644</v>
      </c>
      <c r="G29" s="112">
        <v>7880</v>
      </c>
      <c r="H29" s="112"/>
      <c r="I29" s="113">
        <f>+SUM(J29:K29,V29)</f>
        <v>46434.62</v>
      </c>
      <c r="J29" s="113">
        <v>27215.43</v>
      </c>
      <c r="K29" s="113">
        <f>+SUM(L29:U29)</f>
        <v>12765.789999999999</v>
      </c>
      <c r="L29" s="113">
        <v>163.59</v>
      </c>
      <c r="M29" s="113">
        <v>543.41</v>
      </c>
      <c r="N29" s="113">
        <v>299.43</v>
      </c>
      <c r="O29" s="113">
        <v>11034.22</v>
      </c>
      <c r="P29" s="113">
        <v>0</v>
      </c>
      <c r="Q29" s="113">
        <v>0</v>
      </c>
      <c r="R29" s="113">
        <v>0</v>
      </c>
      <c r="S29" s="113">
        <v>0</v>
      </c>
      <c r="T29" s="113">
        <v>0</v>
      </c>
      <c r="U29" s="113">
        <f>159.72+12.72+546.44+6.26</f>
        <v>725.1400000000001</v>
      </c>
      <c r="V29" s="113">
        <v>6453.4</v>
      </c>
      <c r="W29" s="104">
        <f>+SUM(X29:Y29,AJ29)</f>
        <v>49888.43000000001</v>
      </c>
      <c r="X29" s="113">
        <v>29239.72</v>
      </c>
      <c r="Y29" s="113">
        <f>+SUM(Z29:AI29)</f>
        <v>13715.300000000001</v>
      </c>
      <c r="Z29" s="113">
        <v>175.76</v>
      </c>
      <c r="AA29" s="113">
        <v>583.83</v>
      </c>
      <c r="AB29" s="113">
        <v>321.7</v>
      </c>
      <c r="AC29" s="113">
        <v>11854.95</v>
      </c>
      <c r="AD29" s="113">
        <v>0</v>
      </c>
      <c r="AE29" s="113">
        <v>0</v>
      </c>
      <c r="AF29" s="113">
        <v>0</v>
      </c>
      <c r="AG29" s="113">
        <v>0</v>
      </c>
      <c r="AH29" s="113">
        <v>0</v>
      </c>
      <c r="AI29" s="113">
        <f>171.6+13.66+587.08+6.72</f>
        <v>779.0600000000001</v>
      </c>
      <c r="AJ29" s="113">
        <v>6933.41</v>
      </c>
      <c r="AK29" s="113">
        <f>+W29-I29</f>
        <v>3453.810000000005</v>
      </c>
      <c r="AL29" s="151">
        <f>+AK29*6</f>
        <v>20722.86000000003</v>
      </c>
      <c r="AM29" s="114"/>
      <c r="AN29" s="114"/>
      <c r="AO29" s="114"/>
      <c r="AP29" s="114"/>
      <c r="AQ29" s="114"/>
      <c r="AR29" s="114"/>
    </row>
    <row r="30" spans="1:44" s="259" customFormat="1" ht="12.75">
      <c r="A30" s="115"/>
      <c r="B30" s="110"/>
      <c r="C30" s="112" t="s">
        <v>251</v>
      </c>
      <c r="D30" s="198"/>
      <c r="E30" s="198"/>
      <c r="F30" s="112">
        <v>18</v>
      </c>
      <c r="G30" s="112">
        <v>18</v>
      </c>
      <c r="H30" s="112"/>
      <c r="I30" s="104">
        <f>J30+K30+V30</f>
        <v>127.28300000000002</v>
      </c>
      <c r="J30" s="104">
        <v>68.171</v>
      </c>
      <c r="K30" s="113">
        <f>+SUM(L30:U30)</f>
        <v>50.636</v>
      </c>
      <c r="L30" s="104">
        <v>0</v>
      </c>
      <c r="M30" s="104">
        <v>3.025</v>
      </c>
      <c r="N30" s="104">
        <v>0</v>
      </c>
      <c r="O30" s="104">
        <v>46.17</v>
      </c>
      <c r="P30" s="104">
        <v>0</v>
      </c>
      <c r="Q30" s="104">
        <v>0</v>
      </c>
      <c r="R30" s="104">
        <v>0</v>
      </c>
      <c r="S30" s="104">
        <v>1.441</v>
      </c>
      <c r="T30" s="104">
        <v>0</v>
      </c>
      <c r="U30" s="104">
        <v>0</v>
      </c>
      <c r="V30" s="104">
        <v>8.476</v>
      </c>
      <c r="W30" s="104">
        <f>+SUM(X30:Y30,AJ30)</f>
        <v>137.414</v>
      </c>
      <c r="X30" s="104">
        <v>72.93</v>
      </c>
      <c r="Y30" s="113">
        <f>+SUM(Z30:AI30)</f>
        <v>55.757999999999996</v>
      </c>
      <c r="Z30" s="104">
        <v>0</v>
      </c>
      <c r="AA30" s="104">
        <v>3.25</v>
      </c>
      <c r="AB30" s="104">
        <v>0</v>
      </c>
      <c r="AC30" s="104">
        <v>50.858</v>
      </c>
      <c r="AD30" s="104">
        <v>0</v>
      </c>
      <c r="AE30" s="104">
        <v>0</v>
      </c>
      <c r="AF30" s="104">
        <v>0</v>
      </c>
      <c r="AG30" s="104">
        <v>1.65</v>
      </c>
      <c r="AH30" s="104">
        <v>0</v>
      </c>
      <c r="AI30" s="104">
        <v>0</v>
      </c>
      <c r="AJ30" s="104">
        <v>8.726</v>
      </c>
      <c r="AK30" s="113">
        <f>+W30-I30</f>
        <v>10.130999999999972</v>
      </c>
      <c r="AL30" s="151">
        <f>+AK30*6</f>
        <v>60.78599999999983</v>
      </c>
      <c r="AM30" s="258"/>
      <c r="AN30" s="258"/>
      <c r="AO30" s="258"/>
      <c r="AP30" s="258"/>
      <c r="AQ30" s="258"/>
      <c r="AR30" s="258"/>
    </row>
    <row r="31" spans="1:44" s="109" customFormat="1" ht="12.75">
      <c r="A31" s="99" t="s">
        <v>240</v>
      </c>
      <c r="B31" s="100" t="s">
        <v>177</v>
      </c>
      <c r="C31" s="103" t="s">
        <v>178</v>
      </c>
      <c r="D31" s="102">
        <f t="shared" si="5"/>
        <v>2.9797482837528606</v>
      </c>
      <c r="E31" s="102">
        <f t="shared" si="6"/>
        <v>4.631807780320366</v>
      </c>
      <c r="F31" s="103">
        <v>79</v>
      </c>
      <c r="G31" s="103">
        <v>76</v>
      </c>
      <c r="H31" s="103"/>
      <c r="I31" s="105">
        <f>+SUM(J31:K31,V31)</f>
        <v>404.82</v>
      </c>
      <c r="J31" s="105">
        <v>260.43</v>
      </c>
      <c r="K31" s="105">
        <f>+SUM(L31:U31)</f>
        <v>82.81</v>
      </c>
      <c r="L31" s="105">
        <v>2.54</v>
      </c>
      <c r="M31" s="105">
        <v>5.69</v>
      </c>
      <c r="N31" s="105">
        <v>1.63</v>
      </c>
      <c r="O31" s="105">
        <v>70.17</v>
      </c>
      <c r="P31" s="105">
        <v>0</v>
      </c>
      <c r="Q31" s="105">
        <v>0</v>
      </c>
      <c r="R31" s="105">
        <v>0</v>
      </c>
      <c r="S31" s="105">
        <v>0</v>
      </c>
      <c r="T31" s="105">
        <v>0</v>
      </c>
      <c r="U31" s="105">
        <f>2.78</f>
        <v>2.78</v>
      </c>
      <c r="V31" s="105">
        <v>61.58</v>
      </c>
      <c r="W31" s="106">
        <f t="shared" si="15"/>
        <v>434.93999999999994</v>
      </c>
      <c r="X31" s="105">
        <v>279.8</v>
      </c>
      <c r="Y31" s="105">
        <f>+SUM(Z31:AI31)</f>
        <v>88.97999999999999</v>
      </c>
      <c r="Z31" s="105">
        <v>2.73</v>
      </c>
      <c r="AA31" s="105">
        <v>6.11</v>
      </c>
      <c r="AB31" s="105">
        <v>1.76</v>
      </c>
      <c r="AC31" s="105">
        <v>75.39</v>
      </c>
      <c r="AD31" s="105">
        <v>0</v>
      </c>
      <c r="AE31" s="105">
        <v>0</v>
      </c>
      <c r="AF31" s="105">
        <v>0</v>
      </c>
      <c r="AG31" s="105">
        <v>0</v>
      </c>
      <c r="AH31" s="105">
        <v>0</v>
      </c>
      <c r="AI31" s="105">
        <v>2.99</v>
      </c>
      <c r="AJ31" s="105">
        <v>66.16</v>
      </c>
      <c r="AK31" s="105">
        <f>+W31-I31</f>
        <v>30.119999999999948</v>
      </c>
      <c r="AL31" s="153">
        <f>+AK31*6</f>
        <v>180.7199999999997</v>
      </c>
      <c r="AM31" s="107"/>
      <c r="AN31" s="107"/>
      <c r="AO31" s="107"/>
      <c r="AP31" s="107"/>
      <c r="AQ31" s="107"/>
      <c r="AR31" s="107"/>
    </row>
    <row r="32" spans="1:44" s="109" customFormat="1" ht="12.75">
      <c r="A32" s="99"/>
      <c r="B32" s="100" t="s">
        <v>26</v>
      </c>
      <c r="C32" s="103" t="s">
        <v>27</v>
      </c>
      <c r="D32" s="102" t="e">
        <f t="shared" si="5"/>
        <v>#DIV/0!</v>
      </c>
      <c r="E32" s="102" t="e">
        <f t="shared" si="6"/>
        <v>#DIV/0!</v>
      </c>
      <c r="F32" s="103">
        <v>0</v>
      </c>
      <c r="G32" s="103">
        <v>0</v>
      </c>
      <c r="H32" s="103"/>
      <c r="I32" s="105">
        <f>+SUM(J32:K32,V32)</f>
        <v>0</v>
      </c>
      <c r="J32" s="105">
        <v>0</v>
      </c>
      <c r="K32" s="105">
        <f>+SUM(L32:U32)</f>
        <v>0</v>
      </c>
      <c r="L32" s="105">
        <v>0</v>
      </c>
      <c r="M32" s="105">
        <v>0</v>
      </c>
      <c r="N32" s="105">
        <v>0</v>
      </c>
      <c r="O32" s="105">
        <v>0</v>
      </c>
      <c r="P32" s="105">
        <v>0</v>
      </c>
      <c r="Q32" s="105">
        <v>0</v>
      </c>
      <c r="R32" s="105">
        <v>0</v>
      </c>
      <c r="S32" s="105">
        <v>0</v>
      </c>
      <c r="T32" s="105">
        <v>0</v>
      </c>
      <c r="U32" s="105">
        <v>0</v>
      </c>
      <c r="V32" s="105">
        <v>0</v>
      </c>
      <c r="W32" s="106">
        <f t="shared" si="15"/>
        <v>0</v>
      </c>
      <c r="X32" s="105">
        <v>0</v>
      </c>
      <c r="Y32" s="105">
        <f>+SUM(Z32:AI32)</f>
        <v>0</v>
      </c>
      <c r="Z32" s="105">
        <v>0</v>
      </c>
      <c r="AA32" s="105">
        <v>0</v>
      </c>
      <c r="AB32" s="105">
        <v>0</v>
      </c>
      <c r="AC32" s="105">
        <v>0</v>
      </c>
      <c r="AD32" s="105">
        <v>0</v>
      </c>
      <c r="AE32" s="105">
        <v>0</v>
      </c>
      <c r="AF32" s="105">
        <v>0</v>
      </c>
      <c r="AG32" s="105">
        <v>0</v>
      </c>
      <c r="AH32" s="105">
        <v>0</v>
      </c>
      <c r="AI32" s="105">
        <v>0</v>
      </c>
      <c r="AJ32" s="105">
        <v>0</v>
      </c>
      <c r="AK32" s="105">
        <f>+W32-I32</f>
        <v>0</v>
      </c>
      <c r="AL32" s="153">
        <v>42.13</v>
      </c>
      <c r="AM32" s="107"/>
      <c r="AN32" s="107"/>
      <c r="AO32" s="107"/>
      <c r="AP32" s="107"/>
      <c r="AQ32" s="107"/>
      <c r="AR32" s="107"/>
    </row>
    <row r="33" spans="1:44" s="109" customFormat="1" ht="12.75">
      <c r="A33" s="99"/>
      <c r="B33" s="100" t="s">
        <v>28</v>
      </c>
      <c r="C33" s="103" t="s">
        <v>29</v>
      </c>
      <c r="D33" s="102">
        <f t="shared" si="5"/>
        <v>2.889505928853755</v>
      </c>
      <c r="E33" s="102">
        <f t="shared" si="6"/>
        <v>3.94175607001694</v>
      </c>
      <c r="F33" s="105">
        <f>+F34+F44+F45</f>
        <v>303</v>
      </c>
      <c r="G33" s="105">
        <f aca="true" t="shared" si="17" ref="G33:AK33">+G34+G44+G45</f>
        <v>308</v>
      </c>
      <c r="H33" s="105">
        <f t="shared" si="17"/>
        <v>0</v>
      </c>
      <c r="I33" s="105">
        <f t="shared" si="17"/>
        <v>1396.17</v>
      </c>
      <c r="J33" s="105">
        <f t="shared" si="17"/>
        <v>1023.463</v>
      </c>
      <c r="K33" s="105">
        <f t="shared" si="17"/>
        <v>123.182</v>
      </c>
      <c r="L33" s="105">
        <f t="shared" si="17"/>
        <v>3.63</v>
      </c>
      <c r="M33" s="105">
        <f t="shared" si="17"/>
        <v>34.139</v>
      </c>
      <c r="N33" s="105">
        <f t="shared" si="17"/>
        <v>22.404000000000003</v>
      </c>
      <c r="O33" s="105">
        <f t="shared" si="17"/>
        <v>39.5</v>
      </c>
      <c r="P33" s="105">
        <f t="shared" si="17"/>
        <v>0</v>
      </c>
      <c r="Q33" s="105">
        <f t="shared" si="17"/>
        <v>0</v>
      </c>
      <c r="R33" s="105">
        <f t="shared" si="17"/>
        <v>1.452</v>
      </c>
      <c r="S33" s="105">
        <f t="shared" si="17"/>
        <v>1.089</v>
      </c>
      <c r="T33" s="105">
        <f t="shared" si="17"/>
        <v>0</v>
      </c>
      <c r="U33" s="105">
        <f t="shared" si="17"/>
        <v>20.968000000000004</v>
      </c>
      <c r="V33" s="105">
        <f t="shared" si="17"/>
        <v>249.52499999999998</v>
      </c>
      <c r="W33" s="105">
        <f t="shared" si="17"/>
        <v>1499.495</v>
      </c>
      <c r="X33" s="105">
        <f t="shared" si="17"/>
        <v>1099.198</v>
      </c>
      <c r="Y33" s="105">
        <f t="shared" si="17"/>
        <v>132.31199999999998</v>
      </c>
      <c r="Z33" s="105">
        <f t="shared" si="17"/>
        <v>3.9</v>
      </c>
      <c r="AA33" s="105">
        <f t="shared" si="17"/>
        <v>36.607</v>
      </c>
      <c r="AB33" s="105">
        <f t="shared" si="17"/>
        <v>24.071</v>
      </c>
      <c r="AC33" s="105">
        <f t="shared" si="17"/>
        <v>42.439</v>
      </c>
      <c r="AD33" s="105">
        <f t="shared" si="17"/>
        <v>0</v>
      </c>
      <c r="AE33" s="105">
        <f t="shared" si="17"/>
        <v>0</v>
      </c>
      <c r="AF33" s="105">
        <f t="shared" si="17"/>
        <v>0.39</v>
      </c>
      <c r="AG33" s="105">
        <f t="shared" si="17"/>
        <v>2.34</v>
      </c>
      <c r="AH33" s="105">
        <f t="shared" si="17"/>
        <v>0</v>
      </c>
      <c r="AI33" s="105">
        <f t="shared" si="17"/>
        <v>22.564999999999994</v>
      </c>
      <c r="AJ33" s="105">
        <f t="shared" si="17"/>
        <v>267.985</v>
      </c>
      <c r="AK33" s="105">
        <f t="shared" si="17"/>
        <v>103.32499999999993</v>
      </c>
      <c r="AL33" s="153">
        <f>+AL34+AL44+AL45</f>
        <v>625.5099999999996</v>
      </c>
      <c r="AM33" s="107"/>
      <c r="AN33" s="107"/>
      <c r="AO33" s="107"/>
      <c r="AP33" s="107"/>
      <c r="AQ33" s="107"/>
      <c r="AR33" s="107"/>
    </row>
    <row r="34" spans="1:44" s="184" customFormat="1" ht="12.75">
      <c r="A34" s="181"/>
      <c r="B34" s="182"/>
      <c r="C34" s="277" t="s">
        <v>191</v>
      </c>
      <c r="D34" s="102">
        <f t="shared" si="5"/>
        <v>3.2758976157082746</v>
      </c>
      <c r="E34" s="102">
        <f t="shared" si="6"/>
        <v>4.470848527349229</v>
      </c>
      <c r="F34" s="141">
        <f>SUM(F35:F43)</f>
        <v>234</v>
      </c>
      <c r="G34" s="141">
        <f aca="true" t="shared" si="18" ref="G34:AK34">SUM(G35:G43)</f>
        <v>248</v>
      </c>
      <c r="H34" s="141">
        <f t="shared" si="18"/>
        <v>0</v>
      </c>
      <c r="I34" s="141">
        <f t="shared" si="18"/>
        <v>1275.086</v>
      </c>
      <c r="J34" s="141">
        <f t="shared" si="18"/>
        <v>934.286</v>
      </c>
      <c r="K34" s="141">
        <f t="shared" si="18"/>
        <v>114.432</v>
      </c>
      <c r="L34" s="141">
        <f t="shared" si="18"/>
        <v>3.63</v>
      </c>
      <c r="M34" s="141">
        <f t="shared" si="18"/>
        <v>27.968</v>
      </c>
      <c r="N34" s="141">
        <f t="shared" si="18"/>
        <v>21.627000000000002</v>
      </c>
      <c r="O34" s="141">
        <f t="shared" si="18"/>
        <v>39.5</v>
      </c>
      <c r="P34" s="141">
        <f t="shared" si="18"/>
        <v>0</v>
      </c>
      <c r="Q34" s="141">
        <f t="shared" si="18"/>
        <v>0</v>
      </c>
      <c r="R34" s="141">
        <f t="shared" si="18"/>
        <v>0</v>
      </c>
      <c r="S34" s="141">
        <f t="shared" si="18"/>
        <v>1.089</v>
      </c>
      <c r="T34" s="141">
        <f t="shared" si="18"/>
        <v>0</v>
      </c>
      <c r="U34" s="141">
        <f t="shared" si="18"/>
        <v>20.618000000000002</v>
      </c>
      <c r="V34" s="141">
        <f t="shared" si="18"/>
        <v>226.36799999999997</v>
      </c>
      <c r="W34" s="141">
        <f t="shared" si="18"/>
        <v>1369.3899999999999</v>
      </c>
      <c r="X34" s="141">
        <f t="shared" si="18"/>
        <v>1003.388</v>
      </c>
      <c r="Y34" s="141">
        <f t="shared" si="18"/>
        <v>122.89699999999998</v>
      </c>
      <c r="Z34" s="141">
        <f t="shared" si="18"/>
        <v>3.9</v>
      </c>
      <c r="AA34" s="141">
        <f t="shared" si="18"/>
        <v>29.976999999999997</v>
      </c>
      <c r="AB34" s="141">
        <f t="shared" si="18"/>
        <v>23.236</v>
      </c>
      <c r="AC34" s="141">
        <f t="shared" si="18"/>
        <v>42.439</v>
      </c>
      <c r="AD34" s="141">
        <f t="shared" si="18"/>
        <v>0</v>
      </c>
      <c r="AE34" s="141">
        <f t="shared" si="18"/>
        <v>0</v>
      </c>
      <c r="AF34" s="141">
        <f t="shared" si="18"/>
        <v>0.39</v>
      </c>
      <c r="AG34" s="141">
        <f t="shared" si="18"/>
        <v>0.78</v>
      </c>
      <c r="AH34" s="141">
        <f t="shared" si="18"/>
        <v>0</v>
      </c>
      <c r="AI34" s="141">
        <f t="shared" si="18"/>
        <v>22.174999999999994</v>
      </c>
      <c r="AJ34" s="141">
        <f t="shared" si="18"/>
        <v>243.10500000000002</v>
      </c>
      <c r="AK34" s="141">
        <f t="shared" si="18"/>
        <v>94.30399999999992</v>
      </c>
      <c r="AL34" s="141">
        <f>SUM(AL35:AL43)</f>
        <v>571.3839999999996</v>
      </c>
      <c r="AM34" s="183"/>
      <c r="AN34" s="183"/>
      <c r="AO34" s="183"/>
      <c r="AP34" s="183"/>
      <c r="AQ34" s="183"/>
      <c r="AR34" s="183"/>
    </row>
    <row r="35" spans="1:44" s="184" customFormat="1" ht="12.75">
      <c r="A35" s="181"/>
      <c r="B35" s="182"/>
      <c r="C35" s="104" t="s">
        <v>252</v>
      </c>
      <c r="D35" s="102"/>
      <c r="E35" s="102"/>
      <c r="F35" s="141">
        <v>34</v>
      </c>
      <c r="G35" s="141">
        <v>34</v>
      </c>
      <c r="H35" s="141"/>
      <c r="I35" s="104">
        <f aca="true" t="shared" si="19" ref="I35:I54">+SUM(J35:K35,V35)</f>
        <v>177.48000000000002</v>
      </c>
      <c r="J35" s="104">
        <v>134.988</v>
      </c>
      <c r="K35" s="104">
        <f aca="true" t="shared" si="20" ref="K35:K43">+SUM(L35:U35)</f>
        <v>9.553999999999998</v>
      </c>
      <c r="L35" s="104">
        <v>0</v>
      </c>
      <c r="M35" s="104">
        <v>3.872</v>
      </c>
      <c r="N35" s="104">
        <v>4.351</v>
      </c>
      <c r="O35" s="104">
        <v>0</v>
      </c>
      <c r="P35" s="104">
        <v>0</v>
      </c>
      <c r="Q35" s="104">
        <v>0</v>
      </c>
      <c r="R35" s="104">
        <v>0</v>
      </c>
      <c r="S35" s="104">
        <v>0.363</v>
      </c>
      <c r="T35" s="104">
        <v>0</v>
      </c>
      <c r="U35" s="104">
        <v>0.968</v>
      </c>
      <c r="V35" s="104">
        <v>32.938</v>
      </c>
      <c r="W35" s="104">
        <f t="shared" si="15"/>
        <v>190.681</v>
      </c>
      <c r="X35" s="113">
        <v>145.028</v>
      </c>
      <c r="Y35" s="113">
        <f aca="true" t="shared" si="21" ref="Y35:Y43">+SUM(Z35:AI35)</f>
        <v>10.265</v>
      </c>
      <c r="Z35" s="104">
        <v>0</v>
      </c>
      <c r="AA35" s="104">
        <v>4.16</v>
      </c>
      <c r="AB35" s="104">
        <v>4.675</v>
      </c>
      <c r="AC35" s="104">
        <v>0</v>
      </c>
      <c r="AD35" s="104">
        <v>0</v>
      </c>
      <c r="AE35" s="104">
        <v>0</v>
      </c>
      <c r="AF35" s="104">
        <v>0.39</v>
      </c>
      <c r="AG35" s="104">
        <v>0</v>
      </c>
      <c r="AH35" s="104">
        <v>0</v>
      </c>
      <c r="AI35" s="104">
        <v>1.04</v>
      </c>
      <c r="AJ35" s="104">
        <v>35.388</v>
      </c>
      <c r="AK35" s="113">
        <f aca="true" t="shared" si="22" ref="AK35:AK45">+W35-I35</f>
        <v>13.200999999999993</v>
      </c>
      <c r="AL35" s="151">
        <f aca="true" t="shared" si="23" ref="AL35:AL41">+AK35*6</f>
        <v>79.20599999999996</v>
      </c>
      <c r="AM35" s="183"/>
      <c r="AN35" s="183"/>
      <c r="AO35" s="183"/>
      <c r="AP35" s="183"/>
      <c r="AQ35" s="183"/>
      <c r="AR35" s="183"/>
    </row>
    <row r="36" spans="1:44" s="184" customFormat="1" ht="25.5">
      <c r="A36" s="181"/>
      <c r="B36" s="182"/>
      <c r="C36" s="104" t="s">
        <v>259</v>
      </c>
      <c r="D36" s="102"/>
      <c r="E36" s="102"/>
      <c r="F36" s="141">
        <v>45</v>
      </c>
      <c r="G36" s="141">
        <v>45</v>
      </c>
      <c r="H36" s="141"/>
      <c r="I36" s="104">
        <f t="shared" si="19"/>
        <v>259.199</v>
      </c>
      <c r="J36" s="104">
        <v>171.663</v>
      </c>
      <c r="K36" s="104">
        <f t="shared" si="20"/>
        <v>45.357</v>
      </c>
      <c r="L36" s="104">
        <v>0</v>
      </c>
      <c r="M36" s="104">
        <v>1.089</v>
      </c>
      <c r="N36" s="104">
        <v>10.636</v>
      </c>
      <c r="O36" s="104">
        <v>24.254</v>
      </c>
      <c r="P36" s="104">
        <v>0</v>
      </c>
      <c r="Q36" s="104">
        <v>0</v>
      </c>
      <c r="R36" s="104">
        <v>0</v>
      </c>
      <c r="S36" s="104">
        <v>0</v>
      </c>
      <c r="T36" s="104">
        <v>0</v>
      </c>
      <c r="U36" s="104">
        <v>9.378</v>
      </c>
      <c r="V36" s="104">
        <v>42.179</v>
      </c>
      <c r="W36" s="104">
        <f t="shared" si="15"/>
        <v>278.478</v>
      </c>
      <c r="X36" s="113">
        <v>184.431</v>
      </c>
      <c r="Y36" s="113">
        <f t="shared" si="21"/>
        <v>48.730999999999995</v>
      </c>
      <c r="Z36" s="104">
        <v>0</v>
      </c>
      <c r="AA36" s="104">
        <v>1.17</v>
      </c>
      <c r="AB36" s="104">
        <v>11.427</v>
      </c>
      <c r="AC36" s="104">
        <v>26.059</v>
      </c>
      <c r="AD36" s="104">
        <v>0</v>
      </c>
      <c r="AE36" s="104">
        <v>0</v>
      </c>
      <c r="AF36" s="104">
        <v>0</v>
      </c>
      <c r="AG36" s="104">
        <v>0</v>
      </c>
      <c r="AH36" s="104">
        <v>0</v>
      </c>
      <c r="AI36" s="104">
        <v>10.075</v>
      </c>
      <c r="AJ36" s="104">
        <v>45.316</v>
      </c>
      <c r="AK36" s="113">
        <f t="shared" si="22"/>
        <v>19.278999999999996</v>
      </c>
      <c r="AL36" s="151">
        <f t="shared" si="23"/>
        <v>115.67399999999998</v>
      </c>
      <c r="AM36" s="183"/>
      <c r="AN36" s="183"/>
      <c r="AO36" s="183"/>
      <c r="AP36" s="183"/>
      <c r="AQ36" s="183"/>
      <c r="AR36" s="183"/>
    </row>
    <row r="37" spans="1:44" s="184" customFormat="1" ht="12.75">
      <c r="A37" s="181"/>
      <c r="B37" s="182"/>
      <c r="C37" s="104" t="s">
        <v>253</v>
      </c>
      <c r="D37" s="102"/>
      <c r="E37" s="102"/>
      <c r="F37" s="85"/>
      <c r="G37" s="141">
        <v>29</v>
      </c>
      <c r="H37" s="141"/>
      <c r="I37" s="104">
        <f t="shared" si="19"/>
        <v>154.612</v>
      </c>
      <c r="J37" s="104">
        <v>116.124</v>
      </c>
      <c r="K37" s="104">
        <f t="shared" si="20"/>
        <v>10.889</v>
      </c>
      <c r="L37" s="104">
        <v>0</v>
      </c>
      <c r="M37" s="104">
        <v>3.57</v>
      </c>
      <c r="N37" s="104">
        <v>0.301</v>
      </c>
      <c r="O37" s="104">
        <v>0</v>
      </c>
      <c r="P37" s="104">
        <v>0</v>
      </c>
      <c r="Q37" s="104">
        <v>0</v>
      </c>
      <c r="R37" s="104">
        <v>0</v>
      </c>
      <c r="S37" s="104"/>
      <c r="T37" s="104">
        <v>0</v>
      </c>
      <c r="U37" s="104">
        <v>7.018</v>
      </c>
      <c r="V37" s="104">
        <v>27.599</v>
      </c>
      <c r="W37" s="104">
        <f t="shared" si="15"/>
        <v>166.11200000000002</v>
      </c>
      <c r="X37" s="113">
        <v>124.761</v>
      </c>
      <c r="Y37" s="113">
        <f t="shared" si="21"/>
        <v>11.699</v>
      </c>
      <c r="Z37" s="104">
        <v>0</v>
      </c>
      <c r="AA37" s="104">
        <v>3.835</v>
      </c>
      <c r="AB37" s="104">
        <v>0.324</v>
      </c>
      <c r="AC37" s="104">
        <v>0</v>
      </c>
      <c r="AD37" s="104"/>
      <c r="AE37" s="104">
        <v>0</v>
      </c>
      <c r="AF37" s="104">
        <v>0</v>
      </c>
      <c r="AG37" s="104"/>
      <c r="AH37" s="104">
        <v>0</v>
      </c>
      <c r="AI37" s="104">
        <v>7.54</v>
      </c>
      <c r="AJ37" s="104">
        <v>29.652</v>
      </c>
      <c r="AK37" s="113">
        <f t="shared" si="22"/>
        <v>11.500000000000028</v>
      </c>
      <c r="AL37" s="151">
        <f t="shared" si="23"/>
        <v>69.00000000000017</v>
      </c>
      <c r="AM37" s="183"/>
      <c r="AN37" s="183"/>
      <c r="AO37" s="183"/>
      <c r="AP37" s="183"/>
      <c r="AQ37" s="183"/>
      <c r="AR37" s="183"/>
    </row>
    <row r="38" spans="1:44" s="184" customFormat="1" ht="12.75">
      <c r="A38" s="181"/>
      <c r="B38" s="182"/>
      <c r="C38" s="104" t="s">
        <v>254</v>
      </c>
      <c r="D38" s="102"/>
      <c r="E38" s="102"/>
      <c r="F38" s="141">
        <v>43</v>
      </c>
      <c r="G38" s="141">
        <v>37</v>
      </c>
      <c r="H38" s="141"/>
      <c r="I38" s="104">
        <f t="shared" si="19"/>
        <v>187.781</v>
      </c>
      <c r="J38" s="104">
        <v>144.559</v>
      </c>
      <c r="K38" s="104">
        <f t="shared" si="20"/>
        <v>8.424999999999999</v>
      </c>
      <c r="L38" s="104">
        <v>0</v>
      </c>
      <c r="M38" s="104">
        <v>6.731</v>
      </c>
      <c r="N38" s="104">
        <v>0</v>
      </c>
      <c r="O38" s="104">
        <v>0</v>
      </c>
      <c r="P38" s="104">
        <v>0</v>
      </c>
      <c r="Q38" s="104">
        <v>0</v>
      </c>
      <c r="R38" s="104">
        <v>0</v>
      </c>
      <c r="S38" s="104">
        <v>0.363</v>
      </c>
      <c r="T38" s="104">
        <v>0</v>
      </c>
      <c r="U38" s="104">
        <v>1.331</v>
      </c>
      <c r="V38" s="104">
        <v>34.797</v>
      </c>
      <c r="W38" s="104">
        <f t="shared" si="15"/>
        <v>201.748</v>
      </c>
      <c r="X38" s="113">
        <v>155.311</v>
      </c>
      <c r="Y38" s="113">
        <f t="shared" si="21"/>
        <v>9.052</v>
      </c>
      <c r="Z38" s="104">
        <v>0</v>
      </c>
      <c r="AA38" s="104">
        <v>7.232</v>
      </c>
      <c r="AB38" s="104">
        <v>0</v>
      </c>
      <c r="AC38" s="104">
        <v>0</v>
      </c>
      <c r="AD38" s="104">
        <v>0</v>
      </c>
      <c r="AE38" s="104">
        <v>0</v>
      </c>
      <c r="AF38" s="104">
        <v>0</v>
      </c>
      <c r="AG38" s="104">
        <v>0.39</v>
      </c>
      <c r="AH38" s="104">
        <v>0</v>
      </c>
      <c r="AI38" s="104">
        <v>1.43</v>
      </c>
      <c r="AJ38" s="104">
        <v>37.385</v>
      </c>
      <c r="AK38" s="113">
        <f t="shared" si="22"/>
        <v>13.966999999999985</v>
      </c>
      <c r="AL38" s="151">
        <f t="shared" si="23"/>
        <v>83.80199999999991</v>
      </c>
      <c r="AM38" s="183"/>
      <c r="AN38" s="183"/>
      <c r="AO38" s="183"/>
      <c r="AP38" s="183"/>
      <c r="AQ38" s="183"/>
      <c r="AR38" s="183"/>
    </row>
    <row r="39" spans="1:44" s="184" customFormat="1" ht="12.75">
      <c r="A39" s="181"/>
      <c r="B39" s="182"/>
      <c r="C39" s="104" t="s">
        <v>255</v>
      </c>
      <c r="D39" s="102"/>
      <c r="E39" s="102"/>
      <c r="F39" s="141">
        <v>38</v>
      </c>
      <c r="G39" s="141">
        <v>31</v>
      </c>
      <c r="H39" s="141"/>
      <c r="I39" s="104">
        <f t="shared" si="19"/>
        <v>191.94800000000004</v>
      </c>
      <c r="J39" s="104">
        <v>131.007</v>
      </c>
      <c r="K39" s="104">
        <f t="shared" si="20"/>
        <v>28.759</v>
      </c>
      <c r="L39" s="104">
        <v>3.63</v>
      </c>
      <c r="M39" s="104">
        <v>5.566</v>
      </c>
      <c r="N39" s="104">
        <v>3.349</v>
      </c>
      <c r="O39" s="104">
        <v>15.246</v>
      </c>
      <c r="P39" s="104">
        <v>0</v>
      </c>
      <c r="Q39" s="104">
        <v>0</v>
      </c>
      <c r="R39" s="104">
        <v>0</v>
      </c>
      <c r="S39" s="104">
        <v>0</v>
      </c>
      <c r="T39" s="104">
        <v>0</v>
      </c>
      <c r="U39" s="104">
        <v>0.968</v>
      </c>
      <c r="V39" s="104">
        <v>32.182</v>
      </c>
      <c r="W39" s="104">
        <f t="shared" si="15"/>
        <v>206.79999999999998</v>
      </c>
      <c r="X39" s="113">
        <v>141.219</v>
      </c>
      <c r="Y39" s="113">
        <f t="shared" si="21"/>
        <v>30.898</v>
      </c>
      <c r="Z39" s="104">
        <v>3.9</v>
      </c>
      <c r="AA39" s="104">
        <v>5.98</v>
      </c>
      <c r="AB39" s="104">
        <v>3.598</v>
      </c>
      <c r="AC39" s="104">
        <v>16.38</v>
      </c>
      <c r="AD39" s="104">
        <v>0</v>
      </c>
      <c r="AE39" s="104">
        <v>0</v>
      </c>
      <c r="AF39" s="104">
        <v>0</v>
      </c>
      <c r="AG39" s="104">
        <v>0</v>
      </c>
      <c r="AH39" s="104">
        <v>0</v>
      </c>
      <c r="AI39" s="104">
        <v>1.04</v>
      </c>
      <c r="AJ39" s="104">
        <v>34.683</v>
      </c>
      <c r="AK39" s="113">
        <f t="shared" si="22"/>
        <v>14.851999999999947</v>
      </c>
      <c r="AL39" s="151">
        <f t="shared" si="23"/>
        <v>89.11199999999968</v>
      </c>
      <c r="AM39" s="183"/>
      <c r="AN39" s="183"/>
      <c r="AO39" s="183"/>
      <c r="AP39" s="183"/>
      <c r="AQ39" s="183"/>
      <c r="AR39" s="183"/>
    </row>
    <row r="40" spans="1:44" s="184" customFormat="1" ht="12.75">
      <c r="A40" s="181"/>
      <c r="B40" s="182"/>
      <c r="C40" s="104" t="s">
        <v>256</v>
      </c>
      <c r="D40" s="102"/>
      <c r="E40" s="102"/>
      <c r="F40" s="141">
        <v>36</v>
      </c>
      <c r="G40" s="141">
        <v>36</v>
      </c>
      <c r="H40" s="141"/>
      <c r="I40" s="104">
        <f t="shared" si="19"/>
        <v>147.94400000000002</v>
      </c>
      <c r="J40" s="104">
        <v>116.322</v>
      </c>
      <c r="K40" s="104">
        <f t="shared" si="20"/>
        <v>3.958</v>
      </c>
      <c r="L40" s="104">
        <v>0</v>
      </c>
      <c r="M40" s="104">
        <v>0.968</v>
      </c>
      <c r="N40" s="104">
        <v>2.99</v>
      </c>
      <c r="O40" s="104">
        <v>0</v>
      </c>
      <c r="P40" s="104">
        <v>0</v>
      </c>
      <c r="Q40" s="104">
        <v>0</v>
      </c>
      <c r="R40" s="104">
        <v>0</v>
      </c>
      <c r="S40" s="104">
        <v>0</v>
      </c>
      <c r="T40" s="104">
        <v>0</v>
      </c>
      <c r="U40" s="104">
        <v>0</v>
      </c>
      <c r="V40" s="104">
        <v>27.664</v>
      </c>
      <c r="W40" s="104">
        <f t="shared" si="15"/>
        <v>158.948</v>
      </c>
      <c r="X40" s="113">
        <v>124.974</v>
      </c>
      <c r="Y40" s="113">
        <f t="shared" si="21"/>
        <v>4.252000000000001</v>
      </c>
      <c r="Z40" s="104">
        <v>0</v>
      </c>
      <c r="AA40" s="104">
        <v>1.04</v>
      </c>
      <c r="AB40" s="104">
        <v>3.212</v>
      </c>
      <c r="AC40" s="104">
        <v>0</v>
      </c>
      <c r="AD40" s="104">
        <v>0</v>
      </c>
      <c r="AE40" s="104">
        <v>0</v>
      </c>
      <c r="AF40" s="104">
        <v>0</v>
      </c>
      <c r="AG40" s="104">
        <v>0</v>
      </c>
      <c r="AH40" s="104">
        <v>0</v>
      </c>
      <c r="AI40" s="104">
        <v>0</v>
      </c>
      <c r="AJ40" s="104">
        <v>29.722</v>
      </c>
      <c r="AK40" s="113">
        <f t="shared" si="22"/>
        <v>11.00399999999999</v>
      </c>
      <c r="AL40" s="151">
        <f t="shared" si="23"/>
        <v>66.02399999999994</v>
      </c>
      <c r="AM40" s="183"/>
      <c r="AN40" s="183"/>
      <c r="AO40" s="183"/>
      <c r="AP40" s="183"/>
      <c r="AQ40" s="183"/>
      <c r="AR40" s="183"/>
    </row>
    <row r="41" spans="1:44" s="184" customFormat="1" ht="12.75">
      <c r="A41" s="181"/>
      <c r="B41" s="182"/>
      <c r="C41" s="104" t="s">
        <v>260</v>
      </c>
      <c r="D41" s="102"/>
      <c r="E41" s="102"/>
      <c r="F41" s="141">
        <v>26</v>
      </c>
      <c r="G41" s="141">
        <v>24</v>
      </c>
      <c r="H41" s="141"/>
      <c r="I41" s="104">
        <f t="shared" si="19"/>
        <v>103.802</v>
      </c>
      <c r="J41" s="104">
        <v>79.733</v>
      </c>
      <c r="K41" s="104">
        <f t="shared" si="20"/>
        <v>4.84</v>
      </c>
      <c r="L41" s="104">
        <v>0</v>
      </c>
      <c r="M41" s="104">
        <v>3.872</v>
      </c>
      <c r="N41" s="104">
        <v>0</v>
      </c>
      <c r="O41" s="104">
        <v>0</v>
      </c>
      <c r="P41" s="104">
        <v>0</v>
      </c>
      <c r="Q41" s="104">
        <v>0</v>
      </c>
      <c r="R41" s="104">
        <v>0</v>
      </c>
      <c r="S41" s="104">
        <v>0.363</v>
      </c>
      <c r="T41" s="104">
        <v>0</v>
      </c>
      <c r="U41" s="104">
        <v>0.605</v>
      </c>
      <c r="V41" s="104">
        <v>19.229</v>
      </c>
      <c r="W41" s="104">
        <f t="shared" si="15"/>
        <v>111.523</v>
      </c>
      <c r="X41" s="113">
        <v>85.664</v>
      </c>
      <c r="Y41" s="113">
        <f t="shared" si="21"/>
        <v>5.2</v>
      </c>
      <c r="Z41" s="104">
        <v>0</v>
      </c>
      <c r="AA41" s="104">
        <v>4.16</v>
      </c>
      <c r="AB41" s="104">
        <v>0</v>
      </c>
      <c r="AC41" s="104">
        <v>0</v>
      </c>
      <c r="AD41" s="104">
        <v>0</v>
      </c>
      <c r="AE41" s="104">
        <v>0</v>
      </c>
      <c r="AF41" s="104">
        <v>0</v>
      </c>
      <c r="AG41" s="104">
        <v>0.39</v>
      </c>
      <c r="AH41" s="104">
        <v>0</v>
      </c>
      <c r="AI41" s="104">
        <v>0.65</v>
      </c>
      <c r="AJ41" s="104">
        <v>20.659</v>
      </c>
      <c r="AK41" s="113">
        <f t="shared" si="22"/>
        <v>7.720999999999989</v>
      </c>
      <c r="AL41" s="151">
        <f t="shared" si="23"/>
        <v>46.32599999999994</v>
      </c>
      <c r="AM41" s="183"/>
      <c r="AN41" s="183"/>
      <c r="AO41" s="183"/>
      <c r="AP41" s="183"/>
      <c r="AQ41" s="183"/>
      <c r="AR41" s="183"/>
    </row>
    <row r="42" spans="1:44" s="184" customFormat="1" ht="25.5">
      <c r="A42" s="181"/>
      <c r="B42" s="182"/>
      <c r="C42" s="104" t="s">
        <v>257</v>
      </c>
      <c r="D42" s="102"/>
      <c r="E42" s="102"/>
      <c r="F42" s="141">
        <v>0</v>
      </c>
      <c r="G42" s="141">
        <v>0</v>
      </c>
      <c r="H42" s="141"/>
      <c r="I42" s="104">
        <f t="shared" si="19"/>
        <v>0</v>
      </c>
      <c r="J42" s="104">
        <v>0</v>
      </c>
      <c r="K42" s="104">
        <f t="shared" si="20"/>
        <v>0</v>
      </c>
      <c r="L42" s="104">
        <v>0</v>
      </c>
      <c r="M42" s="104">
        <v>0</v>
      </c>
      <c r="N42" s="104">
        <v>0</v>
      </c>
      <c r="O42" s="104">
        <v>0</v>
      </c>
      <c r="P42" s="104">
        <v>0</v>
      </c>
      <c r="Q42" s="104">
        <v>0</v>
      </c>
      <c r="R42" s="104">
        <v>0</v>
      </c>
      <c r="S42" s="104">
        <v>0</v>
      </c>
      <c r="T42" s="104">
        <v>0</v>
      </c>
      <c r="U42" s="104">
        <v>0</v>
      </c>
      <c r="V42" s="104">
        <v>0</v>
      </c>
      <c r="W42" s="104">
        <f t="shared" si="15"/>
        <v>0</v>
      </c>
      <c r="X42" s="113">
        <v>0</v>
      </c>
      <c r="Y42" s="113">
        <f t="shared" si="21"/>
        <v>0</v>
      </c>
      <c r="Z42" s="104">
        <v>0</v>
      </c>
      <c r="AA42" s="104">
        <v>0</v>
      </c>
      <c r="AB42" s="104">
        <v>0</v>
      </c>
      <c r="AC42" s="104">
        <v>0</v>
      </c>
      <c r="AD42" s="104">
        <v>0</v>
      </c>
      <c r="AE42" s="104">
        <v>0</v>
      </c>
      <c r="AF42" s="104">
        <v>0</v>
      </c>
      <c r="AG42" s="104">
        <v>0</v>
      </c>
      <c r="AH42" s="104">
        <v>0</v>
      </c>
      <c r="AI42" s="104">
        <v>0</v>
      </c>
      <c r="AJ42" s="104">
        <v>0</v>
      </c>
      <c r="AK42" s="113">
        <f t="shared" si="22"/>
        <v>0</v>
      </c>
      <c r="AL42" s="151">
        <f>+AK42*8</f>
        <v>0</v>
      </c>
      <c r="AM42" s="183"/>
      <c r="AN42" s="183"/>
      <c r="AO42" s="183"/>
      <c r="AP42" s="183"/>
      <c r="AQ42" s="183"/>
      <c r="AR42" s="183"/>
    </row>
    <row r="43" spans="1:44" s="184" customFormat="1" ht="12.75">
      <c r="A43" s="181"/>
      <c r="B43" s="182"/>
      <c r="C43" s="104" t="s">
        <v>258</v>
      </c>
      <c r="D43" s="102"/>
      <c r="E43" s="102"/>
      <c r="F43" s="141">
        <v>12</v>
      </c>
      <c r="G43" s="141">
        <v>12</v>
      </c>
      <c r="H43" s="141"/>
      <c r="I43" s="104">
        <f t="shared" si="19"/>
        <v>52.32</v>
      </c>
      <c r="J43" s="104">
        <v>39.89</v>
      </c>
      <c r="K43" s="104">
        <f t="shared" si="20"/>
        <v>2.65</v>
      </c>
      <c r="L43" s="104">
        <v>0</v>
      </c>
      <c r="M43" s="104">
        <v>2.3</v>
      </c>
      <c r="N43" s="104">
        <v>0</v>
      </c>
      <c r="O43" s="104">
        <v>0</v>
      </c>
      <c r="P43" s="104">
        <v>0</v>
      </c>
      <c r="Q43" s="104">
        <v>0</v>
      </c>
      <c r="R43" s="104">
        <v>0</v>
      </c>
      <c r="S43" s="104">
        <v>0</v>
      </c>
      <c r="T43" s="104">
        <v>0</v>
      </c>
      <c r="U43" s="104">
        <v>0.35</v>
      </c>
      <c r="V43" s="104">
        <v>9.78</v>
      </c>
      <c r="W43" s="104">
        <f t="shared" si="15"/>
        <v>55.099999999999994</v>
      </c>
      <c r="X43" s="113">
        <v>42</v>
      </c>
      <c r="Y43" s="113">
        <f t="shared" si="21"/>
        <v>2.8</v>
      </c>
      <c r="Z43" s="104">
        <v>0</v>
      </c>
      <c r="AA43" s="104">
        <v>2.4</v>
      </c>
      <c r="AB43" s="104">
        <v>0</v>
      </c>
      <c r="AC43" s="104">
        <v>0</v>
      </c>
      <c r="AD43" s="104">
        <v>0</v>
      </c>
      <c r="AE43" s="104"/>
      <c r="AF43" s="104">
        <v>0</v>
      </c>
      <c r="AG43" s="104">
        <v>0</v>
      </c>
      <c r="AH43" s="104">
        <v>0</v>
      </c>
      <c r="AI43" s="104">
        <v>0.4</v>
      </c>
      <c r="AJ43" s="104">
        <v>10.3</v>
      </c>
      <c r="AK43" s="113">
        <f t="shared" si="22"/>
        <v>2.779999999999994</v>
      </c>
      <c r="AL43" s="151">
        <f>+AK43*8</f>
        <v>22.239999999999952</v>
      </c>
      <c r="AM43" s="183"/>
      <c r="AN43" s="183"/>
      <c r="AO43" s="183"/>
      <c r="AP43" s="183"/>
      <c r="AQ43" s="183"/>
      <c r="AR43" s="183"/>
    </row>
    <row r="44" spans="1:44" s="143" customFormat="1" ht="12.75">
      <c r="A44" s="99"/>
      <c r="B44" s="110" t="s">
        <v>158</v>
      </c>
      <c r="C44" s="163" t="s">
        <v>192</v>
      </c>
      <c r="D44" s="102">
        <f t="shared" si="5"/>
        <v>3.3715311909262766</v>
      </c>
      <c r="E44" s="102">
        <f t="shared" si="6"/>
        <v>4.577844990548205</v>
      </c>
      <c r="F44" s="164">
        <v>24</v>
      </c>
      <c r="G44" s="164">
        <v>23</v>
      </c>
      <c r="H44" s="164"/>
      <c r="I44" s="106">
        <f t="shared" si="19"/>
        <v>121.084</v>
      </c>
      <c r="J44" s="113">
        <v>89.177</v>
      </c>
      <c r="K44" s="104">
        <f aca="true" t="shared" si="24" ref="K44:K54">+SUM(L44:U44)</f>
        <v>8.75</v>
      </c>
      <c r="L44" s="113">
        <v>0</v>
      </c>
      <c r="M44" s="113">
        <v>6.171</v>
      </c>
      <c r="N44" s="113">
        <v>0.777</v>
      </c>
      <c r="O44" s="113">
        <v>0</v>
      </c>
      <c r="P44" s="113">
        <v>0</v>
      </c>
      <c r="Q44" s="113">
        <v>0</v>
      </c>
      <c r="R44" s="113">
        <v>1.452</v>
      </c>
      <c r="S44" s="113">
        <v>0</v>
      </c>
      <c r="T44" s="113"/>
      <c r="U44" s="113">
        <v>0.35</v>
      </c>
      <c r="V44" s="113">
        <v>23.157</v>
      </c>
      <c r="W44" s="106">
        <f t="shared" si="15"/>
        <v>130.10500000000002</v>
      </c>
      <c r="X44" s="113">
        <v>95.81</v>
      </c>
      <c r="Y44" s="113">
        <f>+SUM(Z44:AI44)</f>
        <v>9.415000000000001</v>
      </c>
      <c r="Z44" s="113">
        <v>0</v>
      </c>
      <c r="AA44" s="113">
        <v>6.63</v>
      </c>
      <c r="AB44" s="113">
        <v>0.835</v>
      </c>
      <c r="AC44" s="113">
        <v>0</v>
      </c>
      <c r="AD44" s="113">
        <v>0</v>
      </c>
      <c r="AE44" s="113">
        <v>0</v>
      </c>
      <c r="AF44" s="113">
        <v>0</v>
      </c>
      <c r="AG44" s="113">
        <v>1.56</v>
      </c>
      <c r="AH44" s="113">
        <v>0</v>
      </c>
      <c r="AI44" s="113">
        <v>0.39</v>
      </c>
      <c r="AJ44" s="113">
        <v>24.88</v>
      </c>
      <c r="AK44" s="113">
        <f t="shared" si="22"/>
        <v>9.021000000000015</v>
      </c>
      <c r="AL44" s="151">
        <f>+AK44*6</f>
        <v>54.12600000000009</v>
      </c>
      <c r="AM44" s="142"/>
      <c r="AN44" s="142"/>
      <c r="AO44" s="142"/>
      <c r="AP44" s="142"/>
      <c r="AQ44" s="142"/>
      <c r="AR44" s="142"/>
    </row>
    <row r="45" spans="1:44" s="143" customFormat="1" ht="12.75">
      <c r="A45" s="99" t="s">
        <v>240</v>
      </c>
      <c r="B45" s="110" t="s">
        <v>158</v>
      </c>
      <c r="C45" s="163" t="s">
        <v>190</v>
      </c>
      <c r="D45" s="102">
        <f t="shared" si="5"/>
        <v>0</v>
      </c>
      <c r="E45" s="102">
        <f t="shared" si="6"/>
        <v>0</v>
      </c>
      <c r="F45" s="164">
        <v>45</v>
      </c>
      <c r="G45" s="164">
        <v>37</v>
      </c>
      <c r="H45" s="164"/>
      <c r="I45" s="105">
        <f t="shared" si="19"/>
        <v>0</v>
      </c>
      <c r="J45" s="113">
        <v>0</v>
      </c>
      <c r="K45" s="113">
        <f t="shared" si="24"/>
        <v>0</v>
      </c>
      <c r="L45" s="113">
        <v>0</v>
      </c>
      <c r="M45" s="113">
        <v>0</v>
      </c>
      <c r="N45" s="113">
        <v>0</v>
      </c>
      <c r="O45" s="113">
        <v>0</v>
      </c>
      <c r="P45" s="113">
        <v>0</v>
      </c>
      <c r="Q45" s="113">
        <v>0</v>
      </c>
      <c r="R45" s="113">
        <v>0</v>
      </c>
      <c r="S45" s="113">
        <v>0</v>
      </c>
      <c r="T45" s="113">
        <v>0</v>
      </c>
      <c r="U45" s="113">
        <v>0</v>
      </c>
      <c r="V45" s="113">
        <v>0</v>
      </c>
      <c r="W45" s="106">
        <f t="shared" si="15"/>
        <v>0</v>
      </c>
      <c r="X45" s="113">
        <v>0</v>
      </c>
      <c r="Y45" s="113">
        <f>+SUM(Z45:AI45)</f>
        <v>0</v>
      </c>
      <c r="Z45" s="113">
        <v>0</v>
      </c>
      <c r="AA45" s="113">
        <v>0</v>
      </c>
      <c r="AB45" s="113">
        <v>0</v>
      </c>
      <c r="AC45" s="113">
        <v>0</v>
      </c>
      <c r="AD45" s="113">
        <v>0</v>
      </c>
      <c r="AE45" s="113">
        <v>0</v>
      </c>
      <c r="AF45" s="113">
        <v>0</v>
      </c>
      <c r="AG45" s="113">
        <v>0</v>
      </c>
      <c r="AH45" s="113">
        <v>0</v>
      </c>
      <c r="AI45" s="113">
        <v>0</v>
      </c>
      <c r="AJ45" s="113">
        <v>0</v>
      </c>
      <c r="AK45" s="113">
        <f t="shared" si="22"/>
        <v>0</v>
      </c>
      <c r="AL45" s="151">
        <f>+AK45*8</f>
        <v>0</v>
      </c>
      <c r="AM45" s="142"/>
      <c r="AN45" s="142"/>
      <c r="AO45" s="142"/>
      <c r="AP45" s="142"/>
      <c r="AQ45" s="142"/>
      <c r="AR45" s="142"/>
    </row>
    <row r="46" spans="1:44" s="143" customFormat="1" ht="12.75" customHeight="1">
      <c r="A46" s="99"/>
      <c r="B46" s="110" t="s">
        <v>30</v>
      </c>
      <c r="C46" s="112" t="s">
        <v>31</v>
      </c>
      <c r="D46" s="102"/>
      <c r="E46" s="102"/>
      <c r="F46" s="112"/>
      <c r="G46" s="112"/>
      <c r="H46" s="112"/>
      <c r="I46" s="105">
        <f t="shared" si="19"/>
        <v>0</v>
      </c>
      <c r="J46" s="113"/>
      <c r="K46" s="113">
        <f t="shared" si="24"/>
        <v>0</v>
      </c>
      <c r="L46" s="113"/>
      <c r="M46" s="113"/>
      <c r="N46" s="113"/>
      <c r="O46" s="113"/>
      <c r="P46" s="113"/>
      <c r="Q46" s="113"/>
      <c r="R46" s="113"/>
      <c r="S46" s="113"/>
      <c r="T46" s="113"/>
      <c r="U46" s="113"/>
      <c r="V46" s="113"/>
      <c r="W46" s="106"/>
      <c r="X46" s="113"/>
      <c r="Y46" s="113"/>
      <c r="Z46" s="113"/>
      <c r="AA46" s="113"/>
      <c r="AB46" s="113"/>
      <c r="AC46" s="113"/>
      <c r="AD46" s="113"/>
      <c r="AE46" s="113"/>
      <c r="AF46" s="113"/>
      <c r="AG46" s="113"/>
      <c r="AH46" s="113"/>
      <c r="AI46" s="113"/>
      <c r="AJ46" s="113"/>
      <c r="AK46" s="113"/>
      <c r="AL46" s="151"/>
      <c r="AM46" s="142"/>
      <c r="AN46" s="142"/>
      <c r="AO46" s="142"/>
      <c r="AP46" s="142"/>
      <c r="AQ46" s="142"/>
      <c r="AR46" s="142"/>
    </row>
    <row r="47" spans="1:44" s="109" customFormat="1" ht="12.75">
      <c r="A47" s="99"/>
      <c r="B47" s="100" t="s">
        <v>32</v>
      </c>
      <c r="C47" s="103" t="s">
        <v>33</v>
      </c>
      <c r="D47" s="102">
        <f t="shared" si="5"/>
        <v>2.910746513535685</v>
      </c>
      <c r="E47" s="102">
        <f t="shared" si="6"/>
        <v>3.6499261689909765</v>
      </c>
      <c r="F47" s="103">
        <v>63</v>
      </c>
      <c r="G47" s="103">
        <v>53</v>
      </c>
      <c r="H47" s="103"/>
      <c r="I47" s="106">
        <f t="shared" si="19"/>
        <v>222.463</v>
      </c>
      <c r="J47" s="105">
        <v>177.41</v>
      </c>
      <c r="K47" s="105">
        <f t="shared" si="24"/>
        <v>3.553</v>
      </c>
      <c r="L47" s="105">
        <v>0</v>
      </c>
      <c r="M47" s="105">
        <v>2.904</v>
      </c>
      <c r="N47" s="105">
        <v>0</v>
      </c>
      <c r="O47" s="105">
        <v>0</v>
      </c>
      <c r="P47" s="105">
        <v>0</v>
      </c>
      <c r="Q47" s="105">
        <v>0</v>
      </c>
      <c r="R47" s="105">
        <v>0</v>
      </c>
      <c r="S47" s="105">
        <v>0</v>
      </c>
      <c r="T47" s="105">
        <v>0</v>
      </c>
      <c r="U47" s="105">
        <v>0.649</v>
      </c>
      <c r="V47" s="105">
        <v>41.5</v>
      </c>
      <c r="W47" s="106">
        <f>+SUM(X47:Y47,AJ47)</f>
        <v>239.01</v>
      </c>
      <c r="X47" s="105">
        <v>190.606</v>
      </c>
      <c r="Y47" s="105">
        <f>+SUM(Z47:AI47)</f>
        <v>3.817</v>
      </c>
      <c r="Z47" s="105">
        <v>0</v>
      </c>
      <c r="AA47" s="105">
        <v>3.12</v>
      </c>
      <c r="AB47" s="105">
        <v>0</v>
      </c>
      <c r="AC47" s="105">
        <v>0</v>
      </c>
      <c r="AD47" s="105">
        <v>0</v>
      </c>
      <c r="AE47" s="105">
        <v>0</v>
      </c>
      <c r="AF47" s="105">
        <v>0</v>
      </c>
      <c r="AG47" s="105">
        <v>0</v>
      </c>
      <c r="AH47" s="105">
        <v>0</v>
      </c>
      <c r="AI47" s="105">
        <v>0.697</v>
      </c>
      <c r="AJ47" s="105">
        <v>44.587</v>
      </c>
      <c r="AK47" s="105">
        <f aca="true" t="shared" si="25" ref="AK47:AK59">+W47-I47</f>
        <v>16.546999999999997</v>
      </c>
      <c r="AL47" s="153">
        <f aca="true" t="shared" si="26" ref="AL47:AL54">+AK47*6</f>
        <v>99.28199999999998</v>
      </c>
      <c r="AM47" s="107"/>
      <c r="AN47" s="107"/>
      <c r="AO47" s="107"/>
      <c r="AP47" s="107"/>
      <c r="AQ47" s="107"/>
      <c r="AR47" s="107"/>
    </row>
    <row r="48" spans="1:44" s="31" customFormat="1" ht="12.75">
      <c r="A48" s="35"/>
      <c r="B48" s="42" t="s">
        <v>34</v>
      </c>
      <c r="C48" s="24" t="s">
        <v>35</v>
      </c>
      <c r="D48" s="33">
        <f t="shared" si="5"/>
        <v>2.4797397219757467</v>
      </c>
      <c r="E48" s="33">
        <f t="shared" si="6"/>
        <v>4.532091097308489</v>
      </c>
      <c r="F48" s="24">
        <f>+SUM(F49:F54)</f>
        <v>339</v>
      </c>
      <c r="G48" s="24">
        <f>+SUM(G49:G54)</f>
        <v>294</v>
      </c>
      <c r="H48" s="24"/>
      <c r="I48" s="55">
        <f t="shared" si="19"/>
        <v>1532.3</v>
      </c>
      <c r="J48" s="55">
        <f>+SUM(J49:J54)</f>
        <v>838.4</v>
      </c>
      <c r="K48" s="55">
        <f t="shared" si="24"/>
        <v>492.6</v>
      </c>
      <c r="L48" s="55">
        <f aca="true" t="shared" si="27" ref="L48:V48">+SUM(L49:L54)</f>
        <v>0</v>
      </c>
      <c r="M48" s="55">
        <f t="shared" si="27"/>
        <v>20.5</v>
      </c>
      <c r="N48" s="55">
        <f t="shared" si="27"/>
        <v>2.3</v>
      </c>
      <c r="O48" s="55">
        <f t="shared" si="27"/>
        <v>207.9</v>
      </c>
      <c r="P48" s="55">
        <f t="shared" si="27"/>
        <v>0</v>
      </c>
      <c r="Q48" s="55">
        <f t="shared" si="27"/>
        <v>0</v>
      </c>
      <c r="R48" s="55">
        <f t="shared" si="27"/>
        <v>0</v>
      </c>
      <c r="S48" s="55">
        <f t="shared" si="27"/>
        <v>0</v>
      </c>
      <c r="T48" s="55">
        <f t="shared" si="27"/>
        <v>0</v>
      </c>
      <c r="U48" s="55">
        <f t="shared" si="27"/>
        <v>261.9</v>
      </c>
      <c r="V48" s="55">
        <f t="shared" si="27"/>
        <v>201.29999999999998</v>
      </c>
      <c r="W48" s="56">
        <f>+SUM(X48:Y48,AJ48)</f>
        <v>1859.3</v>
      </c>
      <c r="X48" s="55">
        <f>+SUM(X49:X54)</f>
        <v>899.8</v>
      </c>
      <c r="Y48" s="55">
        <f>+SUM(Z48:AI48)</f>
        <v>743.2</v>
      </c>
      <c r="Z48" s="55">
        <f aca="true" t="shared" si="28" ref="Z48:AJ48">+SUM(Z49:Z54)</f>
        <v>0</v>
      </c>
      <c r="AA48" s="55">
        <f t="shared" si="28"/>
        <v>22.700000000000003</v>
      </c>
      <c r="AB48" s="55">
        <f t="shared" si="28"/>
        <v>2.3</v>
      </c>
      <c r="AC48" s="55">
        <f t="shared" si="28"/>
        <v>223</v>
      </c>
      <c r="AD48" s="55">
        <f t="shared" si="28"/>
        <v>0</v>
      </c>
      <c r="AE48" s="55">
        <f t="shared" si="28"/>
        <v>0</v>
      </c>
      <c r="AF48" s="55">
        <f t="shared" si="28"/>
        <v>0</v>
      </c>
      <c r="AG48" s="55">
        <f t="shared" si="28"/>
        <v>0</v>
      </c>
      <c r="AH48" s="55">
        <f t="shared" si="28"/>
        <v>0</v>
      </c>
      <c r="AI48" s="55">
        <f t="shared" si="28"/>
        <v>495.20000000000005</v>
      </c>
      <c r="AJ48" s="55">
        <f t="shared" si="28"/>
        <v>216.3</v>
      </c>
      <c r="AK48" s="55">
        <f t="shared" si="25"/>
        <v>327</v>
      </c>
      <c r="AL48" s="239">
        <f t="shared" si="26"/>
        <v>1962</v>
      </c>
      <c r="AM48" s="240"/>
      <c r="AN48" s="240"/>
      <c r="AO48" s="240"/>
      <c r="AP48" s="240"/>
      <c r="AQ48" s="240"/>
      <c r="AR48" s="240"/>
    </row>
    <row r="49" spans="1:44" s="143" customFormat="1" ht="12.75">
      <c r="A49" s="99"/>
      <c r="B49" s="110" t="s">
        <v>241</v>
      </c>
      <c r="C49" s="163" t="s">
        <v>216</v>
      </c>
      <c r="D49" s="102">
        <f t="shared" si="5"/>
        <v>2.62891809908999</v>
      </c>
      <c r="E49" s="102">
        <f t="shared" si="6"/>
        <v>5.035389282103135</v>
      </c>
      <c r="F49" s="112">
        <v>44</v>
      </c>
      <c r="G49" s="112">
        <v>43</v>
      </c>
      <c r="H49" s="112"/>
      <c r="I49" s="105">
        <f t="shared" si="19"/>
        <v>249</v>
      </c>
      <c r="J49" s="113">
        <f>111+19</f>
        <v>130</v>
      </c>
      <c r="K49" s="113">
        <f t="shared" si="24"/>
        <v>86</v>
      </c>
      <c r="L49" s="113">
        <v>0</v>
      </c>
      <c r="M49" s="113">
        <v>4</v>
      </c>
      <c r="N49" s="113">
        <v>1</v>
      </c>
      <c r="O49" s="113">
        <v>43</v>
      </c>
      <c r="P49" s="113">
        <v>0</v>
      </c>
      <c r="Q49" s="113">
        <v>0</v>
      </c>
      <c r="R49" s="113">
        <v>0</v>
      </c>
      <c r="S49" s="113">
        <v>0</v>
      </c>
      <c r="T49" s="113">
        <v>0</v>
      </c>
      <c r="U49" s="113">
        <v>38</v>
      </c>
      <c r="V49" s="113">
        <v>33</v>
      </c>
      <c r="W49" s="105">
        <f aca="true" t="shared" si="29" ref="W49:W54">+SUM(X49:Y49,AJ49)</f>
        <v>267</v>
      </c>
      <c r="X49" s="113">
        <v>140</v>
      </c>
      <c r="Y49" s="113">
        <f aca="true" t="shared" si="30" ref="Y49:Y54">+SUM(Z49:AI49)</f>
        <v>92</v>
      </c>
      <c r="Z49" s="113">
        <v>0</v>
      </c>
      <c r="AA49" s="113">
        <v>5</v>
      </c>
      <c r="AB49" s="113">
        <v>1</v>
      </c>
      <c r="AC49" s="113">
        <v>46</v>
      </c>
      <c r="AD49" s="113">
        <v>0</v>
      </c>
      <c r="AE49" s="113">
        <v>0</v>
      </c>
      <c r="AF49" s="113">
        <v>0</v>
      </c>
      <c r="AG49" s="113">
        <v>0</v>
      </c>
      <c r="AH49" s="113">
        <v>0</v>
      </c>
      <c r="AI49" s="113">
        <v>40</v>
      </c>
      <c r="AJ49" s="113">
        <v>35</v>
      </c>
      <c r="AK49" s="113">
        <f t="shared" si="25"/>
        <v>18</v>
      </c>
      <c r="AL49" s="151">
        <f t="shared" si="26"/>
        <v>108</v>
      </c>
      <c r="AM49" s="142"/>
      <c r="AN49" s="142"/>
      <c r="AO49" s="142"/>
      <c r="AP49" s="142"/>
      <c r="AQ49" s="142"/>
      <c r="AR49" s="142"/>
    </row>
    <row r="50" spans="1:44" s="143" customFormat="1" ht="25.5">
      <c r="A50" s="99"/>
      <c r="B50" s="110" t="s">
        <v>242</v>
      </c>
      <c r="C50" s="163" t="s">
        <v>217</v>
      </c>
      <c r="D50" s="102">
        <f t="shared" si="5"/>
        <v>2.3509881422924903</v>
      </c>
      <c r="E50" s="102">
        <f t="shared" si="6"/>
        <v>3.9225296442687747</v>
      </c>
      <c r="F50" s="112">
        <v>63</v>
      </c>
      <c r="G50" s="112">
        <v>55</v>
      </c>
      <c r="H50" s="112"/>
      <c r="I50" s="105">
        <f t="shared" si="19"/>
        <v>248.1</v>
      </c>
      <c r="J50" s="113">
        <v>148.7</v>
      </c>
      <c r="K50" s="113">
        <f t="shared" si="24"/>
        <v>63.4</v>
      </c>
      <c r="L50" s="113">
        <v>0</v>
      </c>
      <c r="M50" s="113">
        <v>4</v>
      </c>
      <c r="N50" s="113">
        <v>0.4</v>
      </c>
      <c r="O50" s="113"/>
      <c r="P50" s="113">
        <v>0</v>
      </c>
      <c r="Q50" s="113">
        <v>0</v>
      </c>
      <c r="R50" s="113">
        <v>0</v>
      </c>
      <c r="S50" s="113"/>
      <c r="T50" s="113"/>
      <c r="U50" s="113">
        <f>12.8+0.1+46.1</f>
        <v>59</v>
      </c>
      <c r="V50" s="113">
        <v>36</v>
      </c>
      <c r="W50" s="105">
        <f t="shared" si="29"/>
        <v>266.5</v>
      </c>
      <c r="X50" s="113">
        <v>159.7</v>
      </c>
      <c r="Y50" s="113">
        <f t="shared" si="30"/>
        <v>68.10000000000001</v>
      </c>
      <c r="Z50" s="113"/>
      <c r="AA50" s="113">
        <v>4.3</v>
      </c>
      <c r="AB50" s="113">
        <v>0.4</v>
      </c>
      <c r="AC50" s="113"/>
      <c r="AD50" s="113"/>
      <c r="AE50" s="113"/>
      <c r="AF50" s="113"/>
      <c r="AG50" s="113"/>
      <c r="AH50" s="113">
        <v>0</v>
      </c>
      <c r="AI50" s="113">
        <f>49.5+0.1+13.8</f>
        <v>63.400000000000006</v>
      </c>
      <c r="AJ50" s="113">
        <v>38.7</v>
      </c>
      <c r="AK50" s="113">
        <f t="shared" si="25"/>
        <v>18.400000000000006</v>
      </c>
      <c r="AL50" s="151">
        <f t="shared" si="26"/>
        <v>110.40000000000003</v>
      </c>
      <c r="AM50" s="142"/>
      <c r="AN50" s="142"/>
      <c r="AO50" s="142"/>
      <c r="AP50" s="142"/>
      <c r="AQ50" s="142"/>
      <c r="AR50" s="142"/>
    </row>
    <row r="51" spans="2:44" ht="25.5">
      <c r="B51" s="21" t="s">
        <v>243</v>
      </c>
      <c r="C51" s="26" t="s">
        <v>218</v>
      </c>
      <c r="D51" s="33">
        <f t="shared" si="5"/>
        <v>2.759420289855073</v>
      </c>
      <c r="E51" s="33">
        <f t="shared" si="6"/>
        <v>4.3536231884057965</v>
      </c>
      <c r="F51" s="18">
        <v>31</v>
      </c>
      <c r="G51" s="18">
        <v>30</v>
      </c>
      <c r="H51" s="18"/>
      <c r="I51" s="55">
        <f t="shared" si="19"/>
        <v>150.2</v>
      </c>
      <c r="J51" s="60">
        <f>71+24.2</f>
        <v>95.2</v>
      </c>
      <c r="K51" s="60">
        <f t="shared" si="24"/>
        <v>32.9</v>
      </c>
      <c r="L51" s="60">
        <v>0</v>
      </c>
      <c r="M51" s="60">
        <v>3.5</v>
      </c>
      <c r="N51" s="60">
        <v>0.9</v>
      </c>
      <c r="O51" s="60"/>
      <c r="P51" s="60"/>
      <c r="Q51" s="60"/>
      <c r="R51" s="60">
        <v>0</v>
      </c>
      <c r="S51" s="60">
        <v>0</v>
      </c>
      <c r="T51" s="60">
        <v>0</v>
      </c>
      <c r="U51" s="60">
        <f>20+8.5</f>
        <v>28.5</v>
      </c>
      <c r="V51" s="60">
        <f>16.7+5.4</f>
        <v>22.1</v>
      </c>
      <c r="W51" s="55">
        <f t="shared" si="29"/>
        <v>159.4</v>
      </c>
      <c r="X51" s="60">
        <f>76+25</f>
        <v>101</v>
      </c>
      <c r="Y51" s="60">
        <f t="shared" si="30"/>
        <v>34.6</v>
      </c>
      <c r="Z51" s="60">
        <v>0</v>
      </c>
      <c r="AA51" s="60">
        <v>3.7</v>
      </c>
      <c r="AB51" s="60">
        <v>0.9</v>
      </c>
      <c r="AC51" s="60"/>
      <c r="AD51" s="60"/>
      <c r="AE51" s="60"/>
      <c r="AF51" s="60">
        <v>0</v>
      </c>
      <c r="AG51" s="60">
        <v>0</v>
      </c>
      <c r="AH51" s="60">
        <v>0</v>
      </c>
      <c r="AI51" s="60">
        <v>30</v>
      </c>
      <c r="AJ51" s="60">
        <v>23.8</v>
      </c>
      <c r="AK51" s="60">
        <f t="shared" si="25"/>
        <v>9.200000000000017</v>
      </c>
      <c r="AL51" s="238">
        <f t="shared" si="26"/>
        <v>55.2000000000001</v>
      </c>
      <c r="AM51" s="63"/>
      <c r="AN51" s="63"/>
      <c r="AO51" s="63"/>
      <c r="AP51" s="63"/>
      <c r="AQ51" s="63"/>
      <c r="AR51" s="63"/>
    </row>
    <row r="52" spans="2:44" ht="12.75">
      <c r="B52" s="21" t="s">
        <v>244</v>
      </c>
      <c r="C52" s="26" t="s">
        <v>219</v>
      </c>
      <c r="D52" s="33">
        <f t="shared" si="5"/>
        <v>2.315217391304348</v>
      </c>
      <c r="E52" s="33">
        <f t="shared" si="6"/>
        <v>3.831521739130435</v>
      </c>
      <c r="F52" s="18">
        <v>18</v>
      </c>
      <c r="G52" s="18">
        <v>16</v>
      </c>
      <c r="H52" s="18"/>
      <c r="I52" s="55">
        <f t="shared" si="19"/>
        <v>70.5</v>
      </c>
      <c r="J52" s="60">
        <v>42.6</v>
      </c>
      <c r="K52" s="60">
        <f t="shared" si="24"/>
        <v>17.3</v>
      </c>
      <c r="L52" s="60">
        <v>0</v>
      </c>
      <c r="M52" s="60">
        <v>1.6</v>
      </c>
      <c r="N52" s="60">
        <v>0</v>
      </c>
      <c r="O52" s="60">
        <v>0</v>
      </c>
      <c r="P52" s="60">
        <v>0</v>
      </c>
      <c r="Q52" s="60">
        <v>0</v>
      </c>
      <c r="R52" s="60">
        <v>0</v>
      </c>
      <c r="S52" s="60">
        <v>0</v>
      </c>
      <c r="T52" s="60">
        <v>0</v>
      </c>
      <c r="U52" s="60">
        <v>15.7</v>
      </c>
      <c r="V52" s="60">
        <v>10.6</v>
      </c>
      <c r="W52" s="55">
        <f t="shared" si="29"/>
        <v>75.5</v>
      </c>
      <c r="X52" s="60">
        <v>45.7</v>
      </c>
      <c r="Y52" s="60">
        <f t="shared" si="30"/>
        <v>18.4</v>
      </c>
      <c r="Z52" s="60">
        <v>0</v>
      </c>
      <c r="AA52" s="60">
        <v>1.7</v>
      </c>
      <c r="AB52" s="60">
        <v>0</v>
      </c>
      <c r="AC52" s="60">
        <v>0</v>
      </c>
      <c r="AD52" s="60">
        <v>0</v>
      </c>
      <c r="AE52" s="60">
        <v>0</v>
      </c>
      <c r="AF52" s="60">
        <v>0</v>
      </c>
      <c r="AG52" s="60">
        <v>0</v>
      </c>
      <c r="AH52" s="60">
        <v>0</v>
      </c>
      <c r="AI52" s="60">
        <v>16.7</v>
      </c>
      <c r="AJ52" s="60">
        <v>11.4</v>
      </c>
      <c r="AK52" s="60">
        <f t="shared" si="25"/>
        <v>5</v>
      </c>
      <c r="AL52" s="238">
        <f t="shared" si="26"/>
        <v>30</v>
      </c>
      <c r="AM52" s="63"/>
      <c r="AN52" s="63"/>
      <c r="AO52" s="63"/>
      <c r="AP52" s="63"/>
      <c r="AQ52" s="63"/>
      <c r="AR52" s="63"/>
    </row>
    <row r="53" spans="2:44" ht="12.75">
      <c r="B53" s="21" t="s">
        <v>245</v>
      </c>
      <c r="C53" s="26" t="s">
        <v>220</v>
      </c>
      <c r="D53" s="33">
        <f t="shared" si="5"/>
        <v>2.402247855664005</v>
      </c>
      <c r="E53" s="33">
        <f t="shared" si="6"/>
        <v>4.691511387163562</v>
      </c>
      <c r="F53" s="18">
        <v>180</v>
      </c>
      <c r="G53" s="18">
        <v>147</v>
      </c>
      <c r="H53" s="18"/>
      <c r="I53" s="55">
        <f t="shared" si="19"/>
        <v>793.1</v>
      </c>
      <c r="J53" s="60">
        <v>406.1</v>
      </c>
      <c r="K53" s="60">
        <f t="shared" si="24"/>
        <v>291.4</v>
      </c>
      <c r="L53" s="60">
        <v>0</v>
      </c>
      <c r="M53" s="60">
        <v>5.9</v>
      </c>
      <c r="N53" s="60"/>
      <c r="O53" s="60">
        <v>164.9</v>
      </c>
      <c r="P53" s="60"/>
      <c r="Q53" s="60">
        <v>0</v>
      </c>
      <c r="R53" s="60">
        <v>0</v>
      </c>
      <c r="S53" s="60">
        <v>0</v>
      </c>
      <c r="T53" s="60">
        <v>0</v>
      </c>
      <c r="U53" s="60">
        <f>117.1+3.5</f>
        <v>120.6</v>
      </c>
      <c r="V53" s="60">
        <v>95.6</v>
      </c>
      <c r="W53" s="55">
        <f t="shared" si="29"/>
        <v>1067.4</v>
      </c>
      <c r="X53" s="60">
        <v>436</v>
      </c>
      <c r="Y53" s="60">
        <f t="shared" si="30"/>
        <v>528.4</v>
      </c>
      <c r="Z53" s="60">
        <v>0</v>
      </c>
      <c r="AA53" s="60">
        <v>6.4</v>
      </c>
      <c r="AB53" s="60"/>
      <c r="AC53" s="60">
        <v>177</v>
      </c>
      <c r="AD53" s="60"/>
      <c r="AE53" s="60">
        <v>0</v>
      </c>
      <c r="AF53" s="60">
        <v>0</v>
      </c>
      <c r="AG53" s="60">
        <v>0</v>
      </c>
      <c r="AH53" s="60">
        <v>0</v>
      </c>
      <c r="AI53" s="60">
        <f>341+4</f>
        <v>345</v>
      </c>
      <c r="AJ53" s="60">
        <v>103</v>
      </c>
      <c r="AK53" s="60">
        <f t="shared" si="25"/>
        <v>274.30000000000007</v>
      </c>
      <c r="AL53" s="238">
        <f t="shared" si="26"/>
        <v>1645.8000000000004</v>
      </c>
      <c r="AM53" s="63"/>
      <c r="AN53" s="63"/>
      <c r="AO53" s="63"/>
      <c r="AP53" s="63"/>
      <c r="AQ53" s="63"/>
      <c r="AR53" s="63"/>
    </row>
    <row r="54" spans="2:44" ht="12.75">
      <c r="B54" s="21" t="s">
        <v>246</v>
      </c>
      <c r="C54" s="26" t="s">
        <v>221</v>
      </c>
      <c r="D54" s="33">
        <f t="shared" si="5"/>
        <v>4.579710144927536</v>
      </c>
      <c r="E54" s="33">
        <f t="shared" si="6"/>
        <v>6.202898550724639</v>
      </c>
      <c r="F54" s="18">
        <v>3</v>
      </c>
      <c r="G54" s="18">
        <v>3</v>
      </c>
      <c r="H54" s="18"/>
      <c r="I54" s="55">
        <f t="shared" si="19"/>
        <v>21.400000000000002</v>
      </c>
      <c r="J54" s="60">
        <v>15.8</v>
      </c>
      <c r="K54" s="60">
        <f t="shared" si="24"/>
        <v>1.6</v>
      </c>
      <c r="L54" s="60">
        <v>0</v>
      </c>
      <c r="M54" s="60">
        <v>1.5</v>
      </c>
      <c r="N54" s="60">
        <v>0</v>
      </c>
      <c r="O54" s="60">
        <v>0</v>
      </c>
      <c r="P54" s="60">
        <v>0</v>
      </c>
      <c r="Q54" s="60">
        <v>0</v>
      </c>
      <c r="R54" s="60">
        <v>0</v>
      </c>
      <c r="S54" s="60">
        <v>0</v>
      </c>
      <c r="T54" s="60">
        <v>0</v>
      </c>
      <c r="U54" s="60">
        <v>0.1</v>
      </c>
      <c r="V54" s="60">
        <v>4</v>
      </c>
      <c r="W54" s="55">
        <f t="shared" si="29"/>
        <v>23.5</v>
      </c>
      <c r="X54" s="60">
        <v>17.4</v>
      </c>
      <c r="Y54" s="60">
        <f t="shared" si="30"/>
        <v>1.7000000000000002</v>
      </c>
      <c r="Z54" s="60">
        <v>0</v>
      </c>
      <c r="AA54" s="60">
        <v>1.6</v>
      </c>
      <c r="AB54" s="60">
        <v>0</v>
      </c>
      <c r="AC54" s="60">
        <v>0</v>
      </c>
      <c r="AD54" s="60">
        <v>0</v>
      </c>
      <c r="AE54" s="60">
        <v>0</v>
      </c>
      <c r="AF54" s="60">
        <v>0</v>
      </c>
      <c r="AG54" s="60">
        <v>0</v>
      </c>
      <c r="AH54" s="60">
        <v>0</v>
      </c>
      <c r="AI54" s="60">
        <v>0.1</v>
      </c>
      <c r="AJ54" s="60">
        <v>4.4</v>
      </c>
      <c r="AK54" s="60">
        <f t="shared" si="25"/>
        <v>2.099999999999998</v>
      </c>
      <c r="AL54" s="238">
        <f t="shared" si="26"/>
        <v>12.599999999999987</v>
      </c>
      <c r="AM54" s="63"/>
      <c r="AN54" s="63"/>
      <c r="AO54" s="63"/>
      <c r="AP54" s="63"/>
      <c r="AQ54" s="63"/>
      <c r="AR54" s="63"/>
    </row>
    <row r="55" spans="1:44" s="109" customFormat="1" ht="12.75">
      <c r="A55" s="99"/>
      <c r="B55" s="100" t="s">
        <v>36</v>
      </c>
      <c r="C55" s="103" t="s">
        <v>37</v>
      </c>
      <c r="D55" s="102">
        <f t="shared" si="5"/>
        <v>3.5306771422864376</v>
      </c>
      <c r="E55" s="102">
        <f t="shared" si="6"/>
        <v>5.817676276716161</v>
      </c>
      <c r="F55" s="130">
        <f>F56+F60+F63+F77</f>
        <v>712</v>
      </c>
      <c r="G55" s="130">
        <f aca="true" t="shared" si="31" ref="G55:AK55">G56+G60+G63+G77</f>
        <v>653</v>
      </c>
      <c r="H55" s="130">
        <f t="shared" si="31"/>
        <v>0</v>
      </c>
      <c r="I55" s="130">
        <f t="shared" si="31"/>
        <v>4368.784000000001</v>
      </c>
      <c r="J55" s="130">
        <f t="shared" si="31"/>
        <v>2651.362</v>
      </c>
      <c r="K55" s="130">
        <f t="shared" si="31"/>
        <v>1005.874</v>
      </c>
      <c r="L55" s="130">
        <f t="shared" si="31"/>
        <v>164.79</v>
      </c>
      <c r="M55" s="130">
        <f t="shared" si="31"/>
        <v>61.708000000000006</v>
      </c>
      <c r="N55" s="130">
        <f t="shared" si="31"/>
        <v>109.47</v>
      </c>
      <c r="O55" s="130">
        <f t="shared" si="31"/>
        <v>295.7</v>
      </c>
      <c r="P55" s="130">
        <f t="shared" si="31"/>
        <v>0.85</v>
      </c>
      <c r="Q55" s="130">
        <f t="shared" si="31"/>
        <v>8.08</v>
      </c>
      <c r="R55" s="130">
        <f t="shared" si="31"/>
        <v>4.4799999999999995</v>
      </c>
      <c r="S55" s="130">
        <f t="shared" si="31"/>
        <v>7.15</v>
      </c>
      <c r="T55" s="130">
        <f t="shared" si="31"/>
        <v>70.76</v>
      </c>
      <c r="U55" s="130">
        <f t="shared" si="31"/>
        <v>282.886</v>
      </c>
      <c r="V55" s="130">
        <f t="shared" si="31"/>
        <v>711.548</v>
      </c>
      <c r="W55" s="130">
        <f t="shared" si="31"/>
        <v>4702.267</v>
      </c>
      <c r="X55" s="130">
        <f t="shared" si="31"/>
        <v>2851.041</v>
      </c>
      <c r="Y55" s="130">
        <f t="shared" si="31"/>
        <v>1086.3819999999998</v>
      </c>
      <c r="Z55" s="130">
        <f t="shared" si="31"/>
        <v>176.979</v>
      </c>
      <c r="AA55" s="130">
        <f t="shared" si="31"/>
        <v>66.27</v>
      </c>
      <c r="AB55" s="130">
        <f t="shared" si="31"/>
        <v>117.65000000000002</v>
      </c>
      <c r="AC55" s="130">
        <f t="shared" si="31"/>
        <v>317.73</v>
      </c>
      <c r="AD55" s="130">
        <f t="shared" si="31"/>
        <v>0.91</v>
      </c>
      <c r="AE55" s="130">
        <f t="shared" si="31"/>
        <v>10.4</v>
      </c>
      <c r="AF55" s="130">
        <f t="shared" si="31"/>
        <v>4.8100000000000005</v>
      </c>
      <c r="AG55" s="130">
        <f t="shared" si="31"/>
        <v>7.67</v>
      </c>
      <c r="AH55" s="130">
        <f t="shared" si="31"/>
        <v>76.02</v>
      </c>
      <c r="AI55" s="130">
        <f t="shared" si="31"/>
        <v>307.94300000000004</v>
      </c>
      <c r="AJ55" s="130">
        <f t="shared" si="31"/>
        <v>764.844</v>
      </c>
      <c r="AK55" s="130">
        <f t="shared" si="31"/>
        <v>333.48299999999995</v>
      </c>
      <c r="AL55" s="130">
        <f>AL56+AL60+AL63+AL77</f>
        <v>2125.3479999999995</v>
      </c>
      <c r="AM55" s="107"/>
      <c r="AN55" s="107"/>
      <c r="AO55" s="107"/>
      <c r="AP55" s="107"/>
      <c r="AQ55" s="107"/>
      <c r="AR55" s="107"/>
    </row>
    <row r="56" spans="2:44" s="109" customFormat="1" ht="12.75">
      <c r="B56" s="100">
        <v>1</v>
      </c>
      <c r="C56" s="199" t="s">
        <v>115</v>
      </c>
      <c r="D56" s="102" t="e">
        <f t="shared" si="5"/>
        <v>#DIV/0!</v>
      </c>
      <c r="E56" s="102" t="e">
        <f t="shared" si="6"/>
        <v>#DIV/0!</v>
      </c>
      <c r="F56" s="103">
        <f>SUM(F57:F59)</f>
        <v>0</v>
      </c>
      <c r="G56" s="103">
        <f aca="true" t="shared" si="32" ref="G56:AL56">SUM(G57:G59)</f>
        <v>0</v>
      </c>
      <c r="H56" s="103">
        <f t="shared" si="32"/>
        <v>0</v>
      </c>
      <c r="I56" s="103">
        <f t="shared" si="32"/>
        <v>0</v>
      </c>
      <c r="J56" s="103">
        <f t="shared" si="32"/>
        <v>0</v>
      </c>
      <c r="K56" s="103">
        <f t="shared" si="32"/>
        <v>0</v>
      </c>
      <c r="L56" s="103">
        <f t="shared" si="32"/>
        <v>0</v>
      </c>
      <c r="M56" s="103">
        <f t="shared" si="32"/>
        <v>0</v>
      </c>
      <c r="N56" s="103">
        <f t="shared" si="32"/>
        <v>0</v>
      </c>
      <c r="O56" s="103">
        <f t="shared" si="32"/>
        <v>0</v>
      </c>
      <c r="P56" s="103">
        <f t="shared" si="32"/>
        <v>0</v>
      </c>
      <c r="Q56" s="103">
        <f t="shared" si="32"/>
        <v>0</v>
      </c>
      <c r="R56" s="103">
        <f t="shared" si="32"/>
        <v>0</v>
      </c>
      <c r="S56" s="103">
        <f t="shared" si="32"/>
        <v>0</v>
      </c>
      <c r="T56" s="103">
        <f t="shared" si="32"/>
        <v>0</v>
      </c>
      <c r="U56" s="103">
        <f t="shared" si="32"/>
        <v>0</v>
      </c>
      <c r="V56" s="103">
        <f t="shared" si="32"/>
        <v>0</v>
      </c>
      <c r="W56" s="103">
        <f t="shared" si="32"/>
        <v>0</v>
      </c>
      <c r="X56" s="103">
        <f t="shared" si="32"/>
        <v>0</v>
      </c>
      <c r="Y56" s="103">
        <f t="shared" si="32"/>
        <v>0</v>
      </c>
      <c r="Z56" s="103">
        <f t="shared" si="32"/>
        <v>0</v>
      </c>
      <c r="AA56" s="103">
        <f t="shared" si="32"/>
        <v>0</v>
      </c>
      <c r="AB56" s="103">
        <f t="shared" si="32"/>
        <v>0</v>
      </c>
      <c r="AC56" s="103">
        <f t="shared" si="32"/>
        <v>0</v>
      </c>
      <c r="AD56" s="103">
        <f t="shared" si="32"/>
        <v>0</v>
      </c>
      <c r="AE56" s="103">
        <f t="shared" si="32"/>
        <v>0</v>
      </c>
      <c r="AF56" s="103">
        <f t="shared" si="32"/>
        <v>0</v>
      </c>
      <c r="AG56" s="103">
        <f t="shared" si="32"/>
        <v>0</v>
      </c>
      <c r="AH56" s="103">
        <f t="shared" si="32"/>
        <v>0</v>
      </c>
      <c r="AI56" s="103">
        <f t="shared" si="32"/>
        <v>0</v>
      </c>
      <c r="AJ56" s="103">
        <f t="shared" si="32"/>
        <v>0</v>
      </c>
      <c r="AK56" s="103">
        <f t="shared" si="32"/>
        <v>0</v>
      </c>
      <c r="AL56" s="103">
        <f t="shared" si="32"/>
        <v>124.45</v>
      </c>
      <c r="AM56" s="107"/>
      <c r="AN56" s="107"/>
      <c r="AO56" s="107"/>
      <c r="AP56" s="107"/>
      <c r="AQ56" s="107"/>
      <c r="AR56" s="107"/>
    </row>
    <row r="57" spans="1:44" s="143" customFormat="1" ht="25.5">
      <c r="A57" s="99"/>
      <c r="B57" s="110"/>
      <c r="C57" s="159" t="s">
        <v>182</v>
      </c>
      <c r="D57" s="102" t="e">
        <f t="shared" si="5"/>
        <v>#DIV/0!</v>
      </c>
      <c r="E57" s="102" t="e">
        <f t="shared" si="6"/>
        <v>#DIV/0!</v>
      </c>
      <c r="F57" s="112">
        <v>0</v>
      </c>
      <c r="G57" s="112">
        <v>0</v>
      </c>
      <c r="H57" s="112"/>
      <c r="I57" s="105">
        <f>+SUM(J57:K57,V57)</f>
        <v>0</v>
      </c>
      <c r="J57" s="113">
        <v>0</v>
      </c>
      <c r="K57" s="113">
        <f>+SUM(L57:U57)</f>
        <v>0</v>
      </c>
      <c r="L57" s="113">
        <v>0</v>
      </c>
      <c r="M57" s="113">
        <v>0</v>
      </c>
      <c r="N57" s="113">
        <v>0</v>
      </c>
      <c r="O57" s="113">
        <v>0</v>
      </c>
      <c r="P57" s="113">
        <v>0</v>
      </c>
      <c r="Q57" s="113">
        <v>0</v>
      </c>
      <c r="R57" s="113">
        <v>0</v>
      </c>
      <c r="S57" s="113">
        <v>0</v>
      </c>
      <c r="T57" s="113">
        <v>0</v>
      </c>
      <c r="U57" s="113">
        <v>0</v>
      </c>
      <c r="V57" s="113">
        <v>0</v>
      </c>
      <c r="W57" s="104">
        <f>+SUM(X57:Y57,AJ57)</f>
        <v>0</v>
      </c>
      <c r="X57" s="113">
        <v>0</v>
      </c>
      <c r="Y57" s="113">
        <f>+SUM(Z57:AI57)</f>
        <v>0</v>
      </c>
      <c r="Z57" s="113">
        <v>0</v>
      </c>
      <c r="AA57" s="113">
        <v>0</v>
      </c>
      <c r="AB57" s="113">
        <v>0</v>
      </c>
      <c r="AC57" s="113">
        <v>0</v>
      </c>
      <c r="AD57" s="113">
        <v>0</v>
      </c>
      <c r="AE57" s="113">
        <v>0</v>
      </c>
      <c r="AF57" s="113">
        <v>0</v>
      </c>
      <c r="AG57" s="113">
        <v>0</v>
      </c>
      <c r="AH57" s="113">
        <v>0</v>
      </c>
      <c r="AI57" s="113">
        <v>0</v>
      </c>
      <c r="AJ57" s="113">
        <v>0</v>
      </c>
      <c r="AK57" s="113">
        <f t="shared" si="25"/>
        <v>0</v>
      </c>
      <c r="AL57" s="151">
        <v>96.33</v>
      </c>
      <c r="AM57" s="142"/>
      <c r="AN57" s="142"/>
      <c r="AO57" s="142"/>
      <c r="AP57" s="142"/>
      <c r="AQ57" s="142"/>
      <c r="AR57" s="142"/>
    </row>
    <row r="58" spans="1:44" s="143" customFormat="1" ht="12.75">
      <c r="A58" s="99"/>
      <c r="B58" s="110"/>
      <c r="C58" s="159" t="s">
        <v>247</v>
      </c>
      <c r="D58" s="102" t="e">
        <f t="shared" si="5"/>
        <v>#DIV/0!</v>
      </c>
      <c r="E58" s="102" t="e">
        <f t="shared" si="6"/>
        <v>#DIV/0!</v>
      </c>
      <c r="F58" s="112">
        <v>0</v>
      </c>
      <c r="G58" s="112">
        <v>0</v>
      </c>
      <c r="H58" s="112"/>
      <c r="I58" s="105">
        <f>+SUM(J58:K58,V58)</f>
        <v>0</v>
      </c>
      <c r="J58" s="113">
        <v>0</v>
      </c>
      <c r="K58" s="113">
        <f>+SUM(L58:U58)</f>
        <v>0</v>
      </c>
      <c r="L58" s="113">
        <v>0</v>
      </c>
      <c r="M58" s="113">
        <v>0</v>
      </c>
      <c r="N58" s="113">
        <v>0</v>
      </c>
      <c r="O58" s="113">
        <v>0</v>
      </c>
      <c r="P58" s="113">
        <v>0</v>
      </c>
      <c r="Q58" s="113">
        <v>0</v>
      </c>
      <c r="R58" s="113">
        <v>0</v>
      </c>
      <c r="S58" s="113">
        <v>0</v>
      </c>
      <c r="T58" s="113">
        <v>0</v>
      </c>
      <c r="U58" s="113">
        <v>0</v>
      </c>
      <c r="V58" s="113">
        <v>0</v>
      </c>
      <c r="W58" s="104">
        <f>+SUM(X58:Y58,AJ58)</f>
        <v>0</v>
      </c>
      <c r="X58" s="113">
        <v>0</v>
      </c>
      <c r="Y58" s="113">
        <f>+SUM(Z58:AI58)</f>
        <v>0</v>
      </c>
      <c r="Z58" s="113">
        <v>0</v>
      </c>
      <c r="AA58" s="113">
        <v>0</v>
      </c>
      <c r="AB58" s="113">
        <v>0</v>
      </c>
      <c r="AC58" s="113">
        <v>0</v>
      </c>
      <c r="AD58" s="113">
        <v>0</v>
      </c>
      <c r="AE58" s="113">
        <v>0</v>
      </c>
      <c r="AF58" s="113">
        <v>0</v>
      </c>
      <c r="AG58" s="113">
        <v>0</v>
      </c>
      <c r="AH58" s="113">
        <v>0</v>
      </c>
      <c r="AI58" s="113">
        <v>0</v>
      </c>
      <c r="AJ58" s="113">
        <v>0</v>
      </c>
      <c r="AK58" s="113">
        <f t="shared" si="25"/>
        <v>0</v>
      </c>
      <c r="AL58" s="151">
        <f>+AK58*8</f>
        <v>0</v>
      </c>
      <c r="AM58" s="142"/>
      <c r="AN58" s="142"/>
      <c r="AO58" s="142"/>
      <c r="AP58" s="142"/>
      <c r="AQ58" s="142"/>
      <c r="AR58" s="142"/>
    </row>
    <row r="59" spans="1:44" s="143" customFormat="1" ht="12.75">
      <c r="A59" s="99"/>
      <c r="B59" s="110"/>
      <c r="C59" s="159" t="s">
        <v>183</v>
      </c>
      <c r="D59" s="102" t="e">
        <f t="shared" si="5"/>
        <v>#DIV/0!</v>
      </c>
      <c r="E59" s="102" t="e">
        <f t="shared" si="6"/>
        <v>#DIV/0!</v>
      </c>
      <c r="F59" s="112">
        <v>0</v>
      </c>
      <c r="G59" s="112">
        <v>0</v>
      </c>
      <c r="H59" s="112"/>
      <c r="I59" s="105">
        <f>+SUM(J59:K59,V59)</f>
        <v>0</v>
      </c>
      <c r="J59" s="113">
        <v>0</v>
      </c>
      <c r="K59" s="113">
        <f>+SUM(L59:U59)</f>
        <v>0</v>
      </c>
      <c r="L59" s="113">
        <v>0</v>
      </c>
      <c r="M59" s="113">
        <v>0</v>
      </c>
      <c r="N59" s="113">
        <v>0</v>
      </c>
      <c r="O59" s="113">
        <v>0</v>
      </c>
      <c r="P59" s="113">
        <v>0</v>
      </c>
      <c r="Q59" s="113">
        <v>0</v>
      </c>
      <c r="R59" s="113">
        <v>0</v>
      </c>
      <c r="S59" s="113">
        <v>0</v>
      </c>
      <c r="T59" s="113">
        <v>0</v>
      </c>
      <c r="U59" s="113">
        <v>0</v>
      </c>
      <c r="V59" s="113">
        <v>0</v>
      </c>
      <c r="W59" s="104">
        <f>+SUM(X59:Y59,AJ59)</f>
        <v>0</v>
      </c>
      <c r="X59" s="113">
        <v>0</v>
      </c>
      <c r="Y59" s="113">
        <f>+SUM(Z59:AI59)</f>
        <v>0</v>
      </c>
      <c r="Z59" s="113">
        <v>0</v>
      </c>
      <c r="AA59" s="113">
        <v>0</v>
      </c>
      <c r="AB59" s="113">
        <v>0</v>
      </c>
      <c r="AC59" s="113">
        <v>0</v>
      </c>
      <c r="AD59" s="113">
        <v>0</v>
      </c>
      <c r="AE59" s="113">
        <v>0</v>
      </c>
      <c r="AF59" s="113">
        <v>0</v>
      </c>
      <c r="AG59" s="113">
        <v>0</v>
      </c>
      <c r="AH59" s="113">
        <v>0</v>
      </c>
      <c r="AI59" s="113">
        <v>0</v>
      </c>
      <c r="AJ59" s="113">
        <v>0</v>
      </c>
      <c r="AK59" s="113">
        <f t="shared" si="25"/>
        <v>0</v>
      </c>
      <c r="AL59" s="151">
        <v>28.12</v>
      </c>
      <c r="AM59" s="142"/>
      <c r="AN59" s="142"/>
      <c r="AO59" s="142"/>
      <c r="AP59" s="142"/>
      <c r="AQ59" s="142"/>
      <c r="AR59" s="142"/>
    </row>
    <row r="60" spans="2:44" s="109" customFormat="1" ht="12.75">
      <c r="B60" s="100">
        <v>2</v>
      </c>
      <c r="C60" s="199" t="s">
        <v>236</v>
      </c>
      <c r="D60" s="102">
        <f t="shared" si="5"/>
        <v>3.1684321475625823</v>
      </c>
      <c r="E60" s="102">
        <f t="shared" si="6"/>
        <v>4.393517786561265</v>
      </c>
      <c r="F60" s="130">
        <f>SUM(F61:F62)</f>
        <v>33</v>
      </c>
      <c r="G60" s="130">
        <f aca="true" t="shared" si="33" ref="G60:AL60">SUM(G61:G62)</f>
        <v>33</v>
      </c>
      <c r="H60" s="130">
        <f t="shared" si="33"/>
        <v>0</v>
      </c>
      <c r="I60" s="130">
        <f t="shared" si="33"/>
        <v>166.73399999999998</v>
      </c>
      <c r="J60" s="130">
        <f t="shared" si="33"/>
        <v>120.24199999999999</v>
      </c>
      <c r="K60" s="130">
        <f t="shared" si="33"/>
        <v>7.183999999999999</v>
      </c>
      <c r="L60" s="130">
        <f t="shared" si="33"/>
        <v>0</v>
      </c>
      <c r="M60" s="130">
        <f t="shared" si="33"/>
        <v>5.808</v>
      </c>
      <c r="N60" s="130">
        <f t="shared" si="33"/>
        <v>0.91</v>
      </c>
      <c r="O60" s="130">
        <f t="shared" si="33"/>
        <v>0</v>
      </c>
      <c r="P60" s="130">
        <f t="shared" si="33"/>
        <v>0</v>
      </c>
      <c r="Q60" s="130">
        <f t="shared" si="33"/>
        <v>0</v>
      </c>
      <c r="R60" s="130">
        <f t="shared" si="33"/>
        <v>0</v>
      </c>
      <c r="S60" s="130">
        <f t="shared" si="33"/>
        <v>0</v>
      </c>
      <c r="T60" s="130">
        <f t="shared" si="33"/>
        <v>0</v>
      </c>
      <c r="U60" s="130">
        <f t="shared" si="33"/>
        <v>0.46599999999999997</v>
      </c>
      <c r="V60" s="130">
        <f t="shared" si="33"/>
        <v>39.308</v>
      </c>
      <c r="W60" s="130">
        <f t="shared" si="33"/>
        <v>179.218</v>
      </c>
      <c r="X60" s="130">
        <f t="shared" si="33"/>
        <v>129.271</v>
      </c>
      <c r="Y60" s="130">
        <f t="shared" si="33"/>
        <v>7.712999999999999</v>
      </c>
      <c r="Z60" s="130">
        <f t="shared" si="33"/>
        <v>0</v>
      </c>
      <c r="AA60" s="130">
        <f t="shared" si="33"/>
        <v>6.24</v>
      </c>
      <c r="AB60" s="130">
        <f t="shared" si="33"/>
        <v>0.98</v>
      </c>
      <c r="AC60" s="130">
        <f t="shared" si="33"/>
        <v>0</v>
      </c>
      <c r="AD60" s="130">
        <f t="shared" si="33"/>
        <v>0</v>
      </c>
      <c r="AE60" s="130">
        <f t="shared" si="33"/>
        <v>0</v>
      </c>
      <c r="AF60" s="130">
        <f t="shared" si="33"/>
        <v>0</v>
      </c>
      <c r="AG60" s="130">
        <f t="shared" si="33"/>
        <v>0</v>
      </c>
      <c r="AH60" s="130">
        <f t="shared" si="33"/>
        <v>0</v>
      </c>
      <c r="AI60" s="130">
        <f t="shared" si="33"/>
        <v>0.493</v>
      </c>
      <c r="AJ60" s="130">
        <f t="shared" si="33"/>
        <v>42.234</v>
      </c>
      <c r="AK60" s="130">
        <f t="shared" si="33"/>
        <v>12.483999999999995</v>
      </c>
      <c r="AL60" s="234">
        <f t="shared" si="33"/>
        <v>74.90399999999997</v>
      </c>
      <c r="AM60" s="107"/>
      <c r="AN60" s="107"/>
      <c r="AO60" s="107"/>
      <c r="AP60" s="107"/>
      <c r="AQ60" s="107"/>
      <c r="AR60" s="107"/>
    </row>
    <row r="61" spans="1:44" s="143" customFormat="1" ht="12.75">
      <c r="A61" s="99"/>
      <c r="B61" s="110"/>
      <c r="C61" s="159" t="s">
        <v>291</v>
      </c>
      <c r="D61" s="102">
        <f t="shared" si="5"/>
        <v>2.9136956521739132</v>
      </c>
      <c r="E61" s="102">
        <f t="shared" si="6"/>
        <v>4.295380434782609</v>
      </c>
      <c r="F61" s="112">
        <v>16</v>
      </c>
      <c r="G61" s="112">
        <v>16</v>
      </c>
      <c r="H61" s="112"/>
      <c r="I61" s="105">
        <f>+SUM(J61:K61,V61)</f>
        <v>79.035</v>
      </c>
      <c r="J61" s="113">
        <v>53.612</v>
      </c>
      <c r="K61" s="113">
        <f>+SUM(L61:U61)</f>
        <v>3.025</v>
      </c>
      <c r="L61" s="113">
        <v>0</v>
      </c>
      <c r="M61" s="113">
        <v>2.904</v>
      </c>
      <c r="N61" s="113">
        <v>0</v>
      </c>
      <c r="O61" s="113">
        <v>0</v>
      </c>
      <c r="P61" s="113">
        <v>0</v>
      </c>
      <c r="Q61" s="113">
        <v>0</v>
      </c>
      <c r="R61" s="113">
        <v>0</v>
      </c>
      <c r="S61" s="113">
        <v>0</v>
      </c>
      <c r="T61" s="113">
        <v>0</v>
      </c>
      <c r="U61" s="113">
        <v>0.121</v>
      </c>
      <c r="V61" s="113">
        <v>22.398</v>
      </c>
      <c r="W61" s="104">
        <f>+SUM(X61:Y61,AJ61)</f>
        <v>84.994</v>
      </c>
      <c r="X61" s="113">
        <v>57.68</v>
      </c>
      <c r="Y61" s="113">
        <f>+SUM(Z61:AI61)</f>
        <v>3.25</v>
      </c>
      <c r="Z61" s="113">
        <v>0</v>
      </c>
      <c r="AA61" s="113">
        <v>3.12</v>
      </c>
      <c r="AB61" s="113">
        <v>0</v>
      </c>
      <c r="AC61" s="113">
        <v>0</v>
      </c>
      <c r="AD61" s="113">
        <v>0</v>
      </c>
      <c r="AE61" s="113">
        <v>0</v>
      </c>
      <c r="AF61" s="113">
        <v>0</v>
      </c>
      <c r="AG61" s="113">
        <v>0</v>
      </c>
      <c r="AH61" s="113">
        <v>0</v>
      </c>
      <c r="AI61" s="113">
        <v>0.13</v>
      </c>
      <c r="AJ61" s="113">
        <v>24.064</v>
      </c>
      <c r="AK61" s="113">
        <f>+W61-I61</f>
        <v>5.959000000000003</v>
      </c>
      <c r="AL61" s="151">
        <f>+AK61*6</f>
        <v>35.75400000000002</v>
      </c>
      <c r="AM61" s="142"/>
      <c r="AN61" s="142"/>
      <c r="AO61" s="142"/>
      <c r="AP61" s="142"/>
      <c r="AQ61" s="142"/>
      <c r="AR61" s="142"/>
    </row>
    <row r="62" spans="1:44" s="143" customFormat="1" ht="25.5">
      <c r="A62" s="99"/>
      <c r="B62" s="110"/>
      <c r="C62" s="159" t="s">
        <v>292</v>
      </c>
      <c r="D62" s="102">
        <f t="shared" si="5"/>
        <v>3.408184143222506</v>
      </c>
      <c r="E62" s="102">
        <f t="shared" si="6"/>
        <v>4.485882352941177</v>
      </c>
      <c r="F62" s="112">
        <v>17</v>
      </c>
      <c r="G62" s="112">
        <v>17</v>
      </c>
      <c r="H62" s="112"/>
      <c r="I62" s="105">
        <f>+SUM(J62:K62,V62)</f>
        <v>87.699</v>
      </c>
      <c r="J62" s="113">
        <v>66.63</v>
      </c>
      <c r="K62" s="113">
        <f>+SUM(L62:U62)</f>
        <v>4.159</v>
      </c>
      <c r="L62" s="113">
        <v>0</v>
      </c>
      <c r="M62" s="113">
        <v>2.904</v>
      </c>
      <c r="N62" s="113">
        <v>0.91</v>
      </c>
      <c r="O62" s="113">
        <v>0</v>
      </c>
      <c r="P62" s="113">
        <v>0</v>
      </c>
      <c r="Q62" s="113">
        <v>0</v>
      </c>
      <c r="R62" s="113">
        <v>0</v>
      </c>
      <c r="S62" s="113">
        <v>0</v>
      </c>
      <c r="T62" s="113">
        <v>0</v>
      </c>
      <c r="U62" s="113">
        <f>1.15*0.3</f>
        <v>0.345</v>
      </c>
      <c r="V62" s="113">
        <v>16.91</v>
      </c>
      <c r="W62" s="104">
        <f>+SUM(X62:Y62,AJ62)</f>
        <v>94.22399999999999</v>
      </c>
      <c r="X62" s="113">
        <v>71.591</v>
      </c>
      <c r="Y62" s="113">
        <f>+SUM(Z62:AI62)</f>
        <v>4.462999999999999</v>
      </c>
      <c r="Z62" s="113">
        <v>0</v>
      </c>
      <c r="AA62" s="113">
        <v>3.12</v>
      </c>
      <c r="AB62" s="113">
        <v>0.98</v>
      </c>
      <c r="AC62" s="113">
        <v>0</v>
      </c>
      <c r="AD62" s="113">
        <v>0</v>
      </c>
      <c r="AE62" s="113">
        <v>0</v>
      </c>
      <c r="AF62" s="113">
        <v>0</v>
      </c>
      <c r="AG62" s="113">
        <v>0</v>
      </c>
      <c r="AH62" s="113">
        <v>0</v>
      </c>
      <c r="AI62" s="113">
        <f>1.21*0.3</f>
        <v>0.363</v>
      </c>
      <c r="AJ62" s="113">
        <v>18.17</v>
      </c>
      <c r="AK62" s="113">
        <f>+W62-I62</f>
        <v>6.5249999999999915</v>
      </c>
      <c r="AL62" s="151">
        <f>+AK62*6</f>
        <v>39.14999999999995</v>
      </c>
      <c r="AM62" s="142"/>
      <c r="AN62" s="142"/>
      <c r="AO62" s="142"/>
      <c r="AP62" s="142"/>
      <c r="AQ62" s="142"/>
      <c r="AR62" s="142"/>
    </row>
    <row r="63" spans="2:44" s="109" customFormat="1" ht="12.75">
      <c r="B63" s="100">
        <v>3</v>
      </c>
      <c r="C63" s="199" t="s">
        <v>117</v>
      </c>
      <c r="D63" s="102">
        <f t="shared" si="5"/>
        <v>3.549957924263675</v>
      </c>
      <c r="E63" s="102">
        <f t="shared" si="6"/>
        <v>5.893478260869566</v>
      </c>
      <c r="F63" s="103">
        <f>+F64+F76</f>
        <v>679</v>
      </c>
      <c r="G63" s="103">
        <f aca="true" t="shared" si="34" ref="G63:AK63">+G64+G76</f>
        <v>620</v>
      </c>
      <c r="H63" s="103">
        <f t="shared" si="34"/>
        <v>0</v>
      </c>
      <c r="I63" s="105">
        <f t="shared" si="34"/>
        <v>4202.05</v>
      </c>
      <c r="J63" s="105">
        <f t="shared" si="34"/>
        <v>2531.12</v>
      </c>
      <c r="K63" s="105">
        <f t="shared" si="34"/>
        <v>998.69</v>
      </c>
      <c r="L63" s="105">
        <f t="shared" si="34"/>
        <v>164.79</v>
      </c>
      <c r="M63" s="105">
        <f t="shared" si="34"/>
        <v>55.900000000000006</v>
      </c>
      <c r="N63" s="105">
        <f t="shared" si="34"/>
        <v>108.56</v>
      </c>
      <c r="O63" s="105">
        <f t="shared" si="34"/>
        <v>295.7</v>
      </c>
      <c r="P63" s="105">
        <f t="shared" si="34"/>
        <v>0.85</v>
      </c>
      <c r="Q63" s="105">
        <f t="shared" si="34"/>
        <v>8.08</v>
      </c>
      <c r="R63" s="105">
        <f t="shared" si="34"/>
        <v>4.4799999999999995</v>
      </c>
      <c r="S63" s="105">
        <f t="shared" si="34"/>
        <v>7.15</v>
      </c>
      <c r="T63" s="105">
        <f t="shared" si="34"/>
        <v>70.76</v>
      </c>
      <c r="U63" s="105">
        <f t="shared" si="34"/>
        <v>282.42</v>
      </c>
      <c r="V63" s="105">
        <f t="shared" si="34"/>
        <v>672.24</v>
      </c>
      <c r="W63" s="105">
        <f t="shared" si="34"/>
        <v>4523.049</v>
      </c>
      <c r="X63" s="105">
        <f t="shared" si="34"/>
        <v>2721.77</v>
      </c>
      <c r="Y63" s="105">
        <f t="shared" si="34"/>
        <v>1078.6689999999999</v>
      </c>
      <c r="Z63" s="105">
        <f t="shared" si="34"/>
        <v>176.979</v>
      </c>
      <c r="AA63" s="105">
        <f t="shared" si="34"/>
        <v>60.03</v>
      </c>
      <c r="AB63" s="105">
        <f t="shared" si="34"/>
        <v>116.67000000000002</v>
      </c>
      <c r="AC63" s="105">
        <f t="shared" si="34"/>
        <v>317.73</v>
      </c>
      <c r="AD63" s="105">
        <f t="shared" si="34"/>
        <v>0.91</v>
      </c>
      <c r="AE63" s="105">
        <f t="shared" si="34"/>
        <v>10.4</v>
      </c>
      <c r="AF63" s="105">
        <f t="shared" si="34"/>
        <v>4.8100000000000005</v>
      </c>
      <c r="AG63" s="105">
        <f t="shared" si="34"/>
        <v>7.67</v>
      </c>
      <c r="AH63" s="105">
        <f t="shared" si="34"/>
        <v>76.02</v>
      </c>
      <c r="AI63" s="105">
        <f t="shared" si="34"/>
        <v>307.45000000000005</v>
      </c>
      <c r="AJ63" s="105">
        <f t="shared" si="34"/>
        <v>722.61</v>
      </c>
      <c r="AK63" s="105">
        <f t="shared" si="34"/>
        <v>320.99899999999997</v>
      </c>
      <c r="AL63" s="153">
        <f>+AL64+AL76</f>
        <v>1925.9939999999997</v>
      </c>
      <c r="AM63" s="107"/>
      <c r="AN63" s="107"/>
      <c r="AO63" s="107"/>
      <c r="AP63" s="107"/>
      <c r="AQ63" s="107"/>
      <c r="AR63" s="107"/>
    </row>
    <row r="64" spans="1:44" s="143" customFormat="1" ht="25.5">
      <c r="A64" s="99" t="s">
        <v>240</v>
      </c>
      <c r="B64" s="110"/>
      <c r="C64" s="159" t="s">
        <v>295</v>
      </c>
      <c r="D64" s="102">
        <f t="shared" si="5"/>
        <v>3.5877388739258684</v>
      </c>
      <c r="E64" s="102">
        <f t="shared" si="6"/>
        <v>5.377991535205849</v>
      </c>
      <c r="F64" s="112">
        <f>+F65+F70</f>
        <v>349</v>
      </c>
      <c r="G64" s="112">
        <f aca="true" t="shared" si="35" ref="G64:AK64">+G65+G70</f>
        <v>339</v>
      </c>
      <c r="H64" s="112">
        <f t="shared" si="35"/>
        <v>0</v>
      </c>
      <c r="I64" s="113">
        <f t="shared" si="35"/>
        <v>2096.61</v>
      </c>
      <c r="J64" s="113">
        <f t="shared" si="35"/>
        <v>1398.6799999999998</v>
      </c>
      <c r="K64" s="113">
        <f t="shared" si="35"/>
        <v>331.54</v>
      </c>
      <c r="L64" s="113">
        <f t="shared" si="35"/>
        <v>28.79</v>
      </c>
      <c r="M64" s="113">
        <f t="shared" si="35"/>
        <v>33.03</v>
      </c>
      <c r="N64" s="113">
        <f t="shared" si="35"/>
        <v>59.71</v>
      </c>
      <c r="O64" s="113">
        <f t="shared" si="35"/>
        <v>101.54</v>
      </c>
      <c r="P64" s="113">
        <f t="shared" si="35"/>
        <v>0.85</v>
      </c>
      <c r="Q64" s="113">
        <f t="shared" si="35"/>
        <v>8.08</v>
      </c>
      <c r="R64" s="113">
        <f t="shared" si="35"/>
        <v>4.4799999999999995</v>
      </c>
      <c r="S64" s="113">
        <f t="shared" si="35"/>
        <v>7.15</v>
      </c>
      <c r="T64" s="113">
        <f t="shared" si="35"/>
        <v>0.56</v>
      </c>
      <c r="U64" s="113">
        <f t="shared" si="35"/>
        <v>87.35000000000001</v>
      </c>
      <c r="V64" s="113">
        <f t="shared" si="35"/>
        <v>366.39</v>
      </c>
      <c r="W64" s="113">
        <f t="shared" si="35"/>
        <v>2260.999</v>
      </c>
      <c r="X64" s="113">
        <f t="shared" si="35"/>
        <v>1505.1</v>
      </c>
      <c r="Y64" s="113">
        <f t="shared" si="35"/>
        <v>361.889</v>
      </c>
      <c r="Z64" s="113">
        <f t="shared" si="35"/>
        <v>30.858999999999998</v>
      </c>
      <c r="AA64" s="113">
        <f t="shared" si="35"/>
        <v>35.46</v>
      </c>
      <c r="AB64" s="113">
        <f t="shared" si="35"/>
        <v>64.18</v>
      </c>
      <c r="AC64" s="113">
        <f t="shared" si="35"/>
        <v>109.13</v>
      </c>
      <c r="AD64" s="113">
        <f t="shared" si="35"/>
        <v>0.91</v>
      </c>
      <c r="AE64" s="113">
        <f t="shared" si="35"/>
        <v>10.4</v>
      </c>
      <c r="AF64" s="113">
        <f t="shared" si="35"/>
        <v>4.8100000000000005</v>
      </c>
      <c r="AG64" s="113">
        <f t="shared" si="35"/>
        <v>7.67</v>
      </c>
      <c r="AH64" s="113">
        <f t="shared" si="35"/>
        <v>0.6</v>
      </c>
      <c r="AI64" s="113">
        <f t="shared" si="35"/>
        <v>97.87</v>
      </c>
      <c r="AJ64" s="113">
        <f t="shared" si="35"/>
        <v>394.01</v>
      </c>
      <c r="AK64" s="113">
        <f t="shared" si="35"/>
        <v>164.38899999999984</v>
      </c>
      <c r="AL64" s="151">
        <f>+AL65+AL70</f>
        <v>986.3339999999989</v>
      </c>
      <c r="AM64" s="142"/>
      <c r="AN64" s="142"/>
      <c r="AO64" s="142"/>
      <c r="AP64" s="142"/>
      <c r="AQ64" s="142"/>
      <c r="AR64" s="142"/>
    </row>
    <row r="65" spans="1:44" s="143" customFormat="1" ht="12.75">
      <c r="A65" s="99"/>
      <c r="B65" s="110"/>
      <c r="C65" s="159" t="s">
        <v>293</v>
      </c>
      <c r="D65" s="102"/>
      <c r="E65" s="102"/>
      <c r="F65" s="112">
        <f>+SUM(F66:F69)</f>
        <v>117</v>
      </c>
      <c r="G65" s="112">
        <f aca="true" t="shared" si="36" ref="G65:AL65">+SUM(G66:G69)</f>
        <v>111</v>
      </c>
      <c r="H65" s="112">
        <f t="shared" si="36"/>
        <v>0</v>
      </c>
      <c r="I65" s="113">
        <f>+SUM(I66:I69)</f>
        <v>662.5300000000001</v>
      </c>
      <c r="J65" s="113">
        <f t="shared" si="36"/>
        <v>475.24</v>
      </c>
      <c r="K65" s="113">
        <f t="shared" si="36"/>
        <v>52.760000000000005</v>
      </c>
      <c r="L65" s="113">
        <f t="shared" si="36"/>
        <v>2.29</v>
      </c>
      <c r="M65" s="113">
        <f t="shared" si="36"/>
        <v>13.54</v>
      </c>
      <c r="N65" s="113">
        <f t="shared" si="36"/>
        <v>7.840000000000001</v>
      </c>
      <c r="O65" s="113">
        <f t="shared" si="36"/>
        <v>17.11</v>
      </c>
      <c r="P65" s="113">
        <f t="shared" si="36"/>
        <v>0</v>
      </c>
      <c r="Q65" s="113">
        <f t="shared" si="36"/>
        <v>0</v>
      </c>
      <c r="R65" s="113">
        <f t="shared" si="36"/>
        <v>0</v>
      </c>
      <c r="S65" s="113">
        <f t="shared" si="36"/>
        <v>0</v>
      </c>
      <c r="T65" s="113">
        <f t="shared" si="36"/>
        <v>0</v>
      </c>
      <c r="U65" s="113">
        <f t="shared" si="36"/>
        <v>11.98</v>
      </c>
      <c r="V65" s="113">
        <f t="shared" si="36"/>
        <v>134.53</v>
      </c>
      <c r="W65" s="113">
        <f t="shared" si="36"/>
        <v>718.6289999999999</v>
      </c>
      <c r="X65" s="113">
        <f t="shared" si="36"/>
        <v>513.14</v>
      </c>
      <c r="Y65" s="113">
        <f t="shared" si="36"/>
        <v>60.65899999999999</v>
      </c>
      <c r="Z65" s="113">
        <f t="shared" si="36"/>
        <v>2.3890000000000002</v>
      </c>
      <c r="AA65" s="113">
        <f t="shared" si="36"/>
        <v>14.53</v>
      </c>
      <c r="AB65" s="113">
        <f>+SUM(AB66:AB69)</f>
        <v>8.44</v>
      </c>
      <c r="AC65" s="113">
        <f t="shared" si="36"/>
        <v>18.4</v>
      </c>
      <c r="AD65" s="113">
        <f t="shared" si="36"/>
        <v>0</v>
      </c>
      <c r="AE65" s="113">
        <f t="shared" si="36"/>
        <v>0</v>
      </c>
      <c r="AF65" s="113">
        <f t="shared" si="36"/>
        <v>0</v>
      </c>
      <c r="AG65" s="113">
        <f t="shared" si="36"/>
        <v>0</v>
      </c>
      <c r="AH65" s="113">
        <f t="shared" si="36"/>
        <v>0</v>
      </c>
      <c r="AI65" s="113">
        <f t="shared" si="36"/>
        <v>16.900000000000002</v>
      </c>
      <c r="AJ65" s="113">
        <f t="shared" si="36"/>
        <v>144.82999999999998</v>
      </c>
      <c r="AK65" s="113">
        <f t="shared" si="36"/>
        <v>56.09899999999991</v>
      </c>
      <c r="AL65" s="151">
        <f t="shared" si="36"/>
        <v>336.5939999999995</v>
      </c>
      <c r="AM65" s="142"/>
      <c r="AN65" s="142"/>
      <c r="AO65" s="142"/>
      <c r="AP65" s="142"/>
      <c r="AQ65" s="142"/>
      <c r="AR65" s="142"/>
    </row>
    <row r="66" spans="1:44" s="143" customFormat="1" ht="12.75">
      <c r="A66" s="99"/>
      <c r="B66" s="110"/>
      <c r="C66" s="141" t="s">
        <v>268</v>
      </c>
      <c r="D66" s="102"/>
      <c r="E66" s="102"/>
      <c r="F66" s="112">
        <v>34</v>
      </c>
      <c r="G66" s="112">
        <v>32</v>
      </c>
      <c r="H66" s="112"/>
      <c r="I66" s="105">
        <f>+SUM(J66:K66,V66)</f>
        <v>233.49</v>
      </c>
      <c r="J66" s="113">
        <v>145.4</v>
      </c>
      <c r="K66" s="113">
        <f>+SUM(L66:U66)</f>
        <v>35.88</v>
      </c>
      <c r="L66" s="113">
        <v>1.09</v>
      </c>
      <c r="M66" s="113">
        <v>3.63</v>
      </c>
      <c r="N66" s="113">
        <v>2.31</v>
      </c>
      <c r="O66" s="113">
        <v>17.11</v>
      </c>
      <c r="P66" s="113">
        <v>0</v>
      </c>
      <c r="Q66" s="113">
        <v>0</v>
      </c>
      <c r="R66" s="113">
        <v>0</v>
      </c>
      <c r="S66" s="113">
        <v>0</v>
      </c>
      <c r="T66" s="113">
        <v>0</v>
      </c>
      <c r="U66" s="113">
        <v>11.74</v>
      </c>
      <c r="V66" s="113">
        <v>52.21</v>
      </c>
      <c r="W66" s="104">
        <f aca="true" t="shared" si="37" ref="W66:W75">+SUM(X66:Y66,AJ66)</f>
        <v>255.529</v>
      </c>
      <c r="X66" s="113">
        <v>156.7</v>
      </c>
      <c r="Y66" s="113">
        <f aca="true" t="shared" si="38" ref="Y66:Y75">+SUM(Z66:AI66)</f>
        <v>42.528999999999996</v>
      </c>
      <c r="Z66" s="113">
        <v>1.089</v>
      </c>
      <c r="AA66" s="113">
        <v>3.9</v>
      </c>
      <c r="AB66" s="113">
        <v>2.5</v>
      </c>
      <c r="AC66" s="113">
        <v>18.4</v>
      </c>
      <c r="AD66" s="113">
        <v>0</v>
      </c>
      <c r="AE66" s="113">
        <v>0</v>
      </c>
      <c r="AF66" s="113">
        <v>0</v>
      </c>
      <c r="AG66" s="113">
        <v>0</v>
      </c>
      <c r="AH66" s="113">
        <v>0</v>
      </c>
      <c r="AI66" s="113">
        <v>16.64</v>
      </c>
      <c r="AJ66" s="113">
        <v>56.3</v>
      </c>
      <c r="AK66" s="113">
        <f>+W66-I66</f>
        <v>22.038999999999987</v>
      </c>
      <c r="AL66" s="151">
        <f>+AK66*6</f>
        <v>132.23399999999992</v>
      </c>
      <c r="AM66" s="142"/>
      <c r="AN66" s="142"/>
      <c r="AO66" s="142"/>
      <c r="AP66" s="142"/>
      <c r="AQ66" s="142"/>
      <c r="AR66" s="142"/>
    </row>
    <row r="67" spans="1:44" s="143" customFormat="1" ht="12.75">
      <c r="A67" s="99"/>
      <c r="B67" s="110"/>
      <c r="C67" s="141" t="s">
        <v>269</v>
      </c>
      <c r="D67" s="102"/>
      <c r="E67" s="102"/>
      <c r="F67" s="112">
        <v>10</v>
      </c>
      <c r="G67" s="112">
        <v>10</v>
      </c>
      <c r="H67" s="112"/>
      <c r="I67" s="105">
        <f>+SUM(J67:K67,V67)</f>
        <v>42.86000000000001</v>
      </c>
      <c r="J67" s="113">
        <v>33.2</v>
      </c>
      <c r="K67" s="113">
        <f aca="true" t="shared" si="39" ref="K67:K75">+SUM(L67:U67)</f>
        <v>1.7</v>
      </c>
      <c r="L67" s="113">
        <v>0.97</v>
      </c>
      <c r="M67" s="113">
        <v>0.73</v>
      </c>
      <c r="N67" s="113">
        <v>0</v>
      </c>
      <c r="O67" s="113">
        <v>0</v>
      </c>
      <c r="P67" s="113">
        <v>0</v>
      </c>
      <c r="Q67" s="113">
        <v>0</v>
      </c>
      <c r="R67" s="113">
        <v>0</v>
      </c>
      <c r="S67" s="113">
        <v>0</v>
      </c>
      <c r="T67" s="113">
        <v>0</v>
      </c>
      <c r="U67" s="113">
        <v>0</v>
      </c>
      <c r="V67" s="113">
        <v>7.96</v>
      </c>
      <c r="W67" s="104">
        <f t="shared" si="37"/>
        <v>46.760000000000005</v>
      </c>
      <c r="X67" s="113">
        <v>36.6</v>
      </c>
      <c r="Y67" s="113">
        <f t="shared" si="38"/>
        <v>1.82</v>
      </c>
      <c r="Z67" s="113">
        <v>1.04</v>
      </c>
      <c r="AA67" s="113">
        <v>0.78</v>
      </c>
      <c r="AB67" s="113">
        <v>0</v>
      </c>
      <c r="AC67" s="113">
        <v>0</v>
      </c>
      <c r="AD67" s="113">
        <v>0</v>
      </c>
      <c r="AE67" s="113">
        <v>0</v>
      </c>
      <c r="AF67" s="113">
        <v>0</v>
      </c>
      <c r="AG67" s="113">
        <v>0</v>
      </c>
      <c r="AH67" s="113">
        <v>0</v>
      </c>
      <c r="AI67" s="113">
        <v>0</v>
      </c>
      <c r="AJ67" s="113">
        <v>8.34</v>
      </c>
      <c r="AK67" s="113">
        <f>+W67-I67</f>
        <v>3.8999999999999986</v>
      </c>
      <c r="AL67" s="151">
        <f>+AK67*6</f>
        <v>23.39999999999999</v>
      </c>
      <c r="AM67" s="142"/>
      <c r="AN67" s="142"/>
      <c r="AO67" s="142"/>
      <c r="AP67" s="142"/>
      <c r="AQ67" s="142"/>
      <c r="AR67" s="142"/>
    </row>
    <row r="68" spans="1:44" s="143" customFormat="1" ht="12.75">
      <c r="A68" s="99"/>
      <c r="B68" s="110"/>
      <c r="C68" s="141" t="s">
        <v>270</v>
      </c>
      <c r="D68" s="102"/>
      <c r="E68" s="102"/>
      <c r="F68" s="112">
        <v>56</v>
      </c>
      <c r="G68" s="112">
        <v>52</v>
      </c>
      <c r="H68" s="112"/>
      <c r="I68" s="105">
        <f>+SUM(J68:K68,V68)</f>
        <v>303.54</v>
      </c>
      <c r="J68" s="113">
        <v>233.32</v>
      </c>
      <c r="K68" s="113">
        <f t="shared" si="39"/>
        <v>11.49</v>
      </c>
      <c r="L68" s="113">
        <v>0.23</v>
      </c>
      <c r="M68" s="113">
        <v>6.52</v>
      </c>
      <c r="N68" s="113">
        <v>4.74</v>
      </c>
      <c r="O68" s="113">
        <v>0</v>
      </c>
      <c r="P68" s="113">
        <v>0</v>
      </c>
      <c r="Q68" s="113">
        <v>0</v>
      </c>
      <c r="R68" s="113">
        <v>0</v>
      </c>
      <c r="S68" s="113">
        <v>0</v>
      </c>
      <c r="T68" s="113">
        <v>0</v>
      </c>
      <c r="U68" s="113">
        <v>0</v>
      </c>
      <c r="V68" s="113">
        <v>58.73</v>
      </c>
      <c r="W68" s="104">
        <f t="shared" si="37"/>
        <v>327.54999999999995</v>
      </c>
      <c r="X68" s="113">
        <v>251.81</v>
      </c>
      <c r="Y68" s="113">
        <f t="shared" si="38"/>
        <v>12.34</v>
      </c>
      <c r="Z68" s="113">
        <v>0.26</v>
      </c>
      <c r="AA68" s="113">
        <v>6.99</v>
      </c>
      <c r="AB68" s="113">
        <v>5.09</v>
      </c>
      <c r="AC68" s="113">
        <v>0</v>
      </c>
      <c r="AD68" s="113">
        <v>0</v>
      </c>
      <c r="AE68" s="113">
        <v>0</v>
      </c>
      <c r="AF68" s="113">
        <v>0</v>
      </c>
      <c r="AG68" s="113">
        <v>0</v>
      </c>
      <c r="AH68" s="113">
        <v>0</v>
      </c>
      <c r="AI68" s="113">
        <v>0</v>
      </c>
      <c r="AJ68" s="113">
        <v>63.4</v>
      </c>
      <c r="AK68" s="113">
        <f>+W68-I68</f>
        <v>24.009999999999934</v>
      </c>
      <c r="AL68" s="151">
        <f>+AK68*6</f>
        <v>144.0599999999996</v>
      </c>
      <c r="AM68" s="142"/>
      <c r="AN68" s="142"/>
      <c r="AO68" s="142"/>
      <c r="AP68" s="142"/>
      <c r="AQ68" s="142"/>
      <c r="AR68" s="142"/>
    </row>
    <row r="69" spans="1:44" s="143" customFormat="1" ht="25.5">
      <c r="A69" s="99"/>
      <c r="B69" s="110"/>
      <c r="C69" s="141" t="s">
        <v>267</v>
      </c>
      <c r="D69" s="102"/>
      <c r="E69" s="102"/>
      <c r="F69" s="112">
        <v>17</v>
      </c>
      <c r="G69" s="112">
        <v>17</v>
      </c>
      <c r="H69" s="112"/>
      <c r="I69" s="105">
        <f>+SUM(J69:K69,V69)</f>
        <v>82.64</v>
      </c>
      <c r="J69" s="113">
        <v>63.32</v>
      </c>
      <c r="K69" s="113">
        <f t="shared" si="39"/>
        <v>3.6900000000000004</v>
      </c>
      <c r="L69" s="113">
        <v>0</v>
      </c>
      <c r="M69" s="113">
        <v>2.66</v>
      </c>
      <c r="N69" s="113">
        <v>0.79</v>
      </c>
      <c r="O69" s="113">
        <v>0</v>
      </c>
      <c r="P69" s="113">
        <v>0</v>
      </c>
      <c r="Q69" s="113">
        <v>0</v>
      </c>
      <c r="R69" s="113">
        <v>0</v>
      </c>
      <c r="S69" s="113">
        <v>0</v>
      </c>
      <c r="T69" s="113">
        <v>0</v>
      </c>
      <c r="U69" s="113">
        <v>0.24</v>
      </c>
      <c r="V69" s="113">
        <v>15.63</v>
      </c>
      <c r="W69" s="104">
        <f t="shared" si="37"/>
        <v>88.78999999999999</v>
      </c>
      <c r="X69" s="113">
        <v>68.03</v>
      </c>
      <c r="Y69" s="113">
        <f>+SUM(AA69:AI69)</f>
        <v>3.9699999999999998</v>
      </c>
      <c r="AA69" s="113">
        <v>2.86</v>
      </c>
      <c r="AB69" s="113">
        <v>0.85</v>
      </c>
      <c r="AC69" s="113">
        <v>0</v>
      </c>
      <c r="AD69" s="113">
        <v>0</v>
      </c>
      <c r="AE69" s="113">
        <v>0</v>
      </c>
      <c r="AF69" s="113">
        <v>0</v>
      </c>
      <c r="AG69" s="113">
        <v>0</v>
      </c>
      <c r="AH69" s="113">
        <v>0</v>
      </c>
      <c r="AI69" s="113">
        <v>0.26</v>
      </c>
      <c r="AJ69" s="113">
        <v>16.79</v>
      </c>
      <c r="AK69" s="113">
        <f>+W69-I69</f>
        <v>6.1499999999999915</v>
      </c>
      <c r="AL69" s="151">
        <f>+AK69*6</f>
        <v>36.89999999999995</v>
      </c>
      <c r="AM69" s="142"/>
      <c r="AN69" s="142"/>
      <c r="AO69" s="142"/>
      <c r="AP69" s="142"/>
      <c r="AQ69" s="142"/>
      <c r="AR69" s="142"/>
    </row>
    <row r="70" spans="1:44" s="143" customFormat="1" ht="12.75">
      <c r="A70" s="99"/>
      <c r="B70" s="110"/>
      <c r="C70" s="159" t="s">
        <v>294</v>
      </c>
      <c r="D70" s="102"/>
      <c r="E70" s="102"/>
      <c r="F70" s="112">
        <f>+SUM(F71:F75)</f>
        <v>232</v>
      </c>
      <c r="G70" s="112">
        <f aca="true" t="shared" si="40" ref="G70:AL70">+SUM(G71:G75)</f>
        <v>228</v>
      </c>
      <c r="H70" s="112">
        <f t="shared" si="40"/>
        <v>0</v>
      </c>
      <c r="I70" s="113">
        <f t="shared" si="40"/>
        <v>1434.0800000000002</v>
      </c>
      <c r="J70" s="113">
        <f t="shared" si="40"/>
        <v>923.4399999999999</v>
      </c>
      <c r="K70" s="113">
        <f t="shared" si="40"/>
        <v>278.78000000000003</v>
      </c>
      <c r="L70" s="113">
        <f t="shared" si="40"/>
        <v>26.5</v>
      </c>
      <c r="M70" s="113">
        <f t="shared" si="40"/>
        <v>19.490000000000002</v>
      </c>
      <c r="N70" s="113">
        <f t="shared" si="40"/>
        <v>51.87</v>
      </c>
      <c r="O70" s="113">
        <f t="shared" si="40"/>
        <v>84.43</v>
      </c>
      <c r="P70" s="113">
        <f t="shared" si="40"/>
        <v>0.85</v>
      </c>
      <c r="Q70" s="113">
        <f t="shared" si="40"/>
        <v>8.08</v>
      </c>
      <c r="R70" s="113">
        <f t="shared" si="40"/>
        <v>4.4799999999999995</v>
      </c>
      <c r="S70" s="113">
        <f t="shared" si="40"/>
        <v>7.15</v>
      </c>
      <c r="T70" s="113">
        <f t="shared" si="40"/>
        <v>0.56</v>
      </c>
      <c r="U70" s="113">
        <f t="shared" si="40"/>
        <v>75.37</v>
      </c>
      <c r="V70" s="113">
        <f t="shared" si="40"/>
        <v>231.86</v>
      </c>
      <c r="W70" s="113">
        <f t="shared" si="40"/>
        <v>1542.37</v>
      </c>
      <c r="X70" s="113">
        <f t="shared" si="40"/>
        <v>991.96</v>
      </c>
      <c r="Y70" s="113">
        <f t="shared" si="40"/>
        <v>301.23</v>
      </c>
      <c r="Z70" s="113">
        <f t="shared" si="40"/>
        <v>28.47</v>
      </c>
      <c r="AA70" s="113">
        <f t="shared" si="40"/>
        <v>20.93</v>
      </c>
      <c r="AB70" s="113">
        <f t="shared" si="40"/>
        <v>55.74</v>
      </c>
      <c r="AC70" s="113">
        <f t="shared" si="40"/>
        <v>90.73</v>
      </c>
      <c r="AD70" s="113">
        <f t="shared" si="40"/>
        <v>0.91</v>
      </c>
      <c r="AE70" s="113">
        <f t="shared" si="40"/>
        <v>10.4</v>
      </c>
      <c r="AF70" s="113">
        <f t="shared" si="40"/>
        <v>4.8100000000000005</v>
      </c>
      <c r="AG70" s="113">
        <f t="shared" si="40"/>
        <v>7.67</v>
      </c>
      <c r="AH70" s="113">
        <f t="shared" si="40"/>
        <v>0.6</v>
      </c>
      <c r="AI70" s="113">
        <f t="shared" si="40"/>
        <v>80.97</v>
      </c>
      <c r="AJ70" s="113">
        <f t="shared" si="40"/>
        <v>249.18</v>
      </c>
      <c r="AK70" s="113">
        <f t="shared" si="40"/>
        <v>108.28999999999992</v>
      </c>
      <c r="AL70" s="151">
        <f t="shared" si="40"/>
        <v>649.7399999999994</v>
      </c>
      <c r="AM70" s="142"/>
      <c r="AN70" s="142"/>
      <c r="AO70" s="142"/>
      <c r="AP70" s="142"/>
      <c r="AQ70" s="142"/>
      <c r="AR70" s="142"/>
    </row>
    <row r="71" spans="1:44" s="143" customFormat="1" ht="12.75">
      <c r="A71" s="99"/>
      <c r="B71" s="110"/>
      <c r="C71" s="141" t="s">
        <v>271</v>
      </c>
      <c r="D71" s="102"/>
      <c r="E71" s="102"/>
      <c r="F71" s="112">
        <v>55</v>
      </c>
      <c r="G71" s="112">
        <v>54</v>
      </c>
      <c r="H71" s="112"/>
      <c r="I71" s="105">
        <f aca="true" t="shared" si="41" ref="I71:I76">+SUM(J71:K71,V71)</f>
        <v>325.16</v>
      </c>
      <c r="J71" s="113">
        <v>212.95</v>
      </c>
      <c r="K71" s="113">
        <f t="shared" si="39"/>
        <v>59.230000000000004</v>
      </c>
      <c r="L71" s="113">
        <v>0</v>
      </c>
      <c r="M71" s="113">
        <v>4.24</v>
      </c>
      <c r="N71" s="113">
        <v>13.17</v>
      </c>
      <c r="O71" s="113">
        <v>19.79</v>
      </c>
      <c r="P71" s="113">
        <v>0</v>
      </c>
      <c r="Q71" s="113">
        <v>0</v>
      </c>
      <c r="R71" s="113">
        <v>0</v>
      </c>
      <c r="S71" s="113">
        <v>3.27</v>
      </c>
      <c r="T71" s="113">
        <v>0</v>
      </c>
      <c r="U71" s="113">
        <v>18.76</v>
      </c>
      <c r="V71" s="113">
        <v>52.98</v>
      </c>
      <c r="W71" s="104">
        <f t="shared" si="37"/>
        <v>349.34</v>
      </c>
      <c r="X71" s="113">
        <v>228.79</v>
      </c>
      <c r="Y71" s="113">
        <f t="shared" si="38"/>
        <v>63.629999999999995</v>
      </c>
      <c r="Z71" s="113">
        <v>0</v>
      </c>
      <c r="AA71" s="113">
        <v>4.55</v>
      </c>
      <c r="AB71" s="113">
        <v>14.15</v>
      </c>
      <c r="AC71" s="113">
        <v>21.27</v>
      </c>
      <c r="AD71" s="113">
        <v>0</v>
      </c>
      <c r="AE71" s="113">
        <v>0</v>
      </c>
      <c r="AF71" s="113">
        <v>0</v>
      </c>
      <c r="AG71" s="113">
        <v>3.51</v>
      </c>
      <c r="AH71" s="113">
        <v>0</v>
      </c>
      <c r="AI71" s="113">
        <v>20.15</v>
      </c>
      <c r="AJ71" s="113">
        <v>56.92</v>
      </c>
      <c r="AK71" s="113">
        <f aca="true" t="shared" si="42" ref="AK71:AK76">+W71-I71</f>
        <v>24.17999999999995</v>
      </c>
      <c r="AL71" s="151">
        <f aca="true" t="shared" si="43" ref="AL71:AL76">+AK71*6</f>
        <v>145.0799999999997</v>
      </c>
      <c r="AM71" s="142"/>
      <c r="AN71" s="142"/>
      <c r="AO71" s="142"/>
      <c r="AP71" s="142"/>
      <c r="AQ71" s="142"/>
      <c r="AR71" s="142"/>
    </row>
    <row r="72" spans="1:44" s="143" customFormat="1" ht="12.75">
      <c r="A72" s="99"/>
      <c r="B72" s="110"/>
      <c r="C72" s="141" t="s">
        <v>272</v>
      </c>
      <c r="D72" s="102"/>
      <c r="E72" s="102"/>
      <c r="F72" s="112">
        <v>30</v>
      </c>
      <c r="G72" s="112">
        <v>30</v>
      </c>
      <c r="H72" s="112"/>
      <c r="I72" s="105">
        <f t="shared" si="41"/>
        <v>192.9</v>
      </c>
      <c r="J72" s="113">
        <v>122.33</v>
      </c>
      <c r="K72" s="113">
        <f t="shared" si="39"/>
        <v>40.17</v>
      </c>
      <c r="L72" s="113">
        <v>10.89</v>
      </c>
      <c r="M72" s="113">
        <v>2.06</v>
      </c>
      <c r="N72" s="113">
        <v>2.58</v>
      </c>
      <c r="O72" s="113">
        <v>10.67</v>
      </c>
      <c r="P72" s="113">
        <v>0</v>
      </c>
      <c r="Q72" s="113">
        <v>8.08</v>
      </c>
      <c r="R72" s="113">
        <v>3.51</v>
      </c>
      <c r="S72" s="113">
        <v>1.82</v>
      </c>
      <c r="T72" s="113">
        <v>0.56</v>
      </c>
      <c r="U72" s="113">
        <v>0</v>
      </c>
      <c r="V72" s="113">
        <v>30.4</v>
      </c>
      <c r="W72" s="104">
        <f t="shared" si="37"/>
        <v>209.05</v>
      </c>
      <c r="X72" s="113">
        <v>131.43</v>
      </c>
      <c r="Y72" s="113">
        <f t="shared" si="38"/>
        <v>44.88000000000001</v>
      </c>
      <c r="Z72" s="113">
        <v>11.7</v>
      </c>
      <c r="AA72" s="113">
        <v>2.21</v>
      </c>
      <c r="AB72" s="113">
        <v>2.78</v>
      </c>
      <c r="AC72" s="113">
        <v>11.47</v>
      </c>
      <c r="AD72" s="113">
        <v>0</v>
      </c>
      <c r="AE72" s="113">
        <v>10.4</v>
      </c>
      <c r="AF72" s="113">
        <v>3.77</v>
      </c>
      <c r="AG72" s="113">
        <v>1.95</v>
      </c>
      <c r="AH72" s="113">
        <v>0.6</v>
      </c>
      <c r="AI72" s="113">
        <v>0</v>
      </c>
      <c r="AJ72" s="113">
        <v>32.74</v>
      </c>
      <c r="AK72" s="113">
        <f t="shared" si="42"/>
        <v>16.150000000000006</v>
      </c>
      <c r="AL72" s="151">
        <f t="shared" si="43"/>
        <v>96.90000000000003</v>
      </c>
      <c r="AM72" s="142"/>
      <c r="AN72" s="142"/>
      <c r="AO72" s="142"/>
      <c r="AP72" s="142"/>
      <c r="AQ72" s="142"/>
      <c r="AR72" s="142"/>
    </row>
    <row r="73" spans="1:44" s="143" customFormat="1" ht="12.75">
      <c r="A73" s="99"/>
      <c r="B73" s="110"/>
      <c r="C73" s="141" t="s">
        <v>273</v>
      </c>
      <c r="D73" s="102"/>
      <c r="E73" s="102"/>
      <c r="F73" s="112">
        <v>82</v>
      </c>
      <c r="G73" s="112">
        <v>81</v>
      </c>
      <c r="H73" s="112"/>
      <c r="I73" s="105">
        <f t="shared" si="41"/>
        <v>528.4200000000001</v>
      </c>
      <c r="J73" s="113">
        <v>336.5</v>
      </c>
      <c r="K73" s="113">
        <f t="shared" si="39"/>
        <v>110.24000000000001</v>
      </c>
      <c r="L73" s="113">
        <v>9.8</v>
      </c>
      <c r="M73" s="113">
        <v>3.51</v>
      </c>
      <c r="N73" s="113">
        <v>23.02</v>
      </c>
      <c r="O73" s="113">
        <v>31.82</v>
      </c>
      <c r="P73" s="113">
        <v>0</v>
      </c>
      <c r="Q73" s="113">
        <v>0</v>
      </c>
      <c r="R73" s="113">
        <v>0</v>
      </c>
      <c r="S73" s="113">
        <v>0</v>
      </c>
      <c r="T73" s="113">
        <v>0</v>
      </c>
      <c r="U73" s="113">
        <v>42.09</v>
      </c>
      <c r="V73" s="113">
        <v>81.68</v>
      </c>
      <c r="W73" s="104">
        <f t="shared" si="37"/>
        <v>567.73</v>
      </c>
      <c r="X73" s="113">
        <v>361.53</v>
      </c>
      <c r="Y73" s="113">
        <f t="shared" si="38"/>
        <v>118.44</v>
      </c>
      <c r="Z73" s="113">
        <v>10.53</v>
      </c>
      <c r="AA73" s="113">
        <v>3.77</v>
      </c>
      <c r="AB73" s="113">
        <v>24.73</v>
      </c>
      <c r="AC73" s="113">
        <v>34.19</v>
      </c>
      <c r="AD73" s="113">
        <v>0</v>
      </c>
      <c r="AE73" s="113">
        <v>0</v>
      </c>
      <c r="AF73" s="113">
        <v>0</v>
      </c>
      <c r="AG73" s="113">
        <v>0</v>
      </c>
      <c r="AH73" s="113">
        <v>0</v>
      </c>
      <c r="AI73" s="113">
        <v>45.22</v>
      </c>
      <c r="AJ73" s="113">
        <v>87.76</v>
      </c>
      <c r="AK73" s="113">
        <f t="shared" si="42"/>
        <v>39.309999999999945</v>
      </c>
      <c r="AL73" s="151">
        <f t="shared" si="43"/>
        <v>235.85999999999967</v>
      </c>
      <c r="AM73" s="142"/>
      <c r="AN73" s="142"/>
      <c r="AO73" s="142"/>
      <c r="AP73" s="142"/>
      <c r="AQ73" s="142"/>
      <c r="AR73" s="142"/>
    </row>
    <row r="74" spans="1:44" s="143" customFormat="1" ht="12.75">
      <c r="A74" s="99"/>
      <c r="B74" s="110"/>
      <c r="C74" s="141" t="s">
        <v>274</v>
      </c>
      <c r="D74" s="102"/>
      <c r="E74" s="102"/>
      <c r="F74" s="112">
        <v>48</v>
      </c>
      <c r="G74" s="112">
        <v>46</v>
      </c>
      <c r="H74" s="112"/>
      <c r="I74" s="105">
        <f t="shared" si="41"/>
        <v>294.65</v>
      </c>
      <c r="J74" s="113">
        <v>186.17</v>
      </c>
      <c r="K74" s="113">
        <f t="shared" si="39"/>
        <v>59.32000000000001</v>
      </c>
      <c r="L74" s="113">
        <v>5.81</v>
      </c>
      <c r="M74" s="113">
        <v>7.5</v>
      </c>
      <c r="N74" s="113">
        <v>11.15</v>
      </c>
      <c r="O74" s="113">
        <v>18.28</v>
      </c>
      <c r="P74" s="113">
        <v>0</v>
      </c>
      <c r="Q74" s="113">
        <v>0</v>
      </c>
      <c r="R74" s="113">
        <v>0</v>
      </c>
      <c r="S74" s="113">
        <v>2.06</v>
      </c>
      <c r="T74" s="113">
        <v>0</v>
      </c>
      <c r="U74" s="113">
        <v>14.52</v>
      </c>
      <c r="V74" s="113">
        <v>49.16</v>
      </c>
      <c r="W74" s="104">
        <f t="shared" si="37"/>
        <v>316.56</v>
      </c>
      <c r="X74" s="113">
        <v>200.02</v>
      </c>
      <c r="Y74" s="113">
        <f t="shared" si="38"/>
        <v>63.730000000000004</v>
      </c>
      <c r="Z74" s="113">
        <v>6.24</v>
      </c>
      <c r="AA74" s="113">
        <v>8.06</v>
      </c>
      <c r="AB74" s="113">
        <v>11.98</v>
      </c>
      <c r="AC74" s="113">
        <v>19.64</v>
      </c>
      <c r="AD74" s="113">
        <v>0</v>
      </c>
      <c r="AE74" s="113">
        <v>0</v>
      </c>
      <c r="AF74" s="113">
        <v>0</v>
      </c>
      <c r="AG74" s="113">
        <v>2.21</v>
      </c>
      <c r="AH74" s="113">
        <v>0</v>
      </c>
      <c r="AI74" s="113">
        <v>15.6</v>
      </c>
      <c r="AJ74" s="113">
        <v>52.81</v>
      </c>
      <c r="AK74" s="113">
        <f t="shared" si="42"/>
        <v>21.910000000000025</v>
      </c>
      <c r="AL74" s="151">
        <f t="shared" si="43"/>
        <v>131.46000000000015</v>
      </c>
      <c r="AM74" s="142"/>
      <c r="AN74" s="142"/>
      <c r="AO74" s="142"/>
      <c r="AP74" s="142"/>
      <c r="AQ74" s="142"/>
      <c r="AR74" s="142"/>
    </row>
    <row r="75" spans="1:44" s="143" customFormat="1" ht="13.5" customHeight="1">
      <c r="A75" s="99"/>
      <c r="B75" s="110"/>
      <c r="C75" s="141" t="s">
        <v>275</v>
      </c>
      <c r="D75" s="102"/>
      <c r="E75" s="102"/>
      <c r="F75" s="112">
        <v>17</v>
      </c>
      <c r="G75" s="112">
        <v>17</v>
      </c>
      <c r="H75" s="112"/>
      <c r="I75" s="105">
        <f t="shared" si="41"/>
        <v>92.95</v>
      </c>
      <c r="J75" s="113">
        <v>65.49</v>
      </c>
      <c r="K75" s="113">
        <f t="shared" si="39"/>
        <v>9.82</v>
      </c>
      <c r="L75" s="113">
        <v>0</v>
      </c>
      <c r="M75" s="113">
        <v>2.18</v>
      </c>
      <c r="N75" s="113">
        <v>1.95</v>
      </c>
      <c r="O75" s="113">
        <v>3.87</v>
      </c>
      <c r="P75" s="113">
        <v>0.85</v>
      </c>
      <c r="Q75" s="113">
        <v>0</v>
      </c>
      <c r="R75" s="113">
        <v>0.97</v>
      </c>
      <c r="S75" s="113">
        <v>0</v>
      </c>
      <c r="T75" s="113">
        <v>0</v>
      </c>
      <c r="U75" s="113">
        <v>0</v>
      </c>
      <c r="V75" s="113">
        <v>17.64</v>
      </c>
      <c r="W75" s="104">
        <f t="shared" si="37"/>
        <v>99.69</v>
      </c>
      <c r="X75" s="113">
        <v>70.19</v>
      </c>
      <c r="Y75" s="113">
        <f t="shared" si="38"/>
        <v>10.55</v>
      </c>
      <c r="Z75" s="113">
        <v>0</v>
      </c>
      <c r="AA75" s="113">
        <v>2.34</v>
      </c>
      <c r="AB75" s="113">
        <v>2.1</v>
      </c>
      <c r="AC75" s="113">
        <v>4.16</v>
      </c>
      <c r="AD75" s="113">
        <v>0.91</v>
      </c>
      <c r="AE75" s="113">
        <v>0</v>
      </c>
      <c r="AF75" s="113">
        <v>1.04</v>
      </c>
      <c r="AG75" s="113">
        <v>0</v>
      </c>
      <c r="AH75" s="113">
        <v>0</v>
      </c>
      <c r="AI75" s="113">
        <v>0</v>
      </c>
      <c r="AJ75" s="113">
        <v>18.95</v>
      </c>
      <c r="AK75" s="113">
        <f t="shared" si="42"/>
        <v>6.739999999999995</v>
      </c>
      <c r="AL75" s="151">
        <f t="shared" si="43"/>
        <v>40.43999999999997</v>
      </c>
      <c r="AM75" s="142"/>
      <c r="AN75" s="142"/>
      <c r="AO75" s="142"/>
      <c r="AP75" s="142"/>
      <c r="AQ75" s="142"/>
      <c r="AR75" s="142"/>
    </row>
    <row r="76" spans="1:44" s="143" customFormat="1" ht="12.75">
      <c r="A76" s="99" t="s">
        <v>240</v>
      </c>
      <c r="B76" s="110"/>
      <c r="C76" s="159" t="s">
        <v>264</v>
      </c>
      <c r="D76" s="102">
        <f t="shared" si="5"/>
        <v>3.5043787714683585</v>
      </c>
      <c r="E76" s="102">
        <f t="shared" si="6"/>
        <v>6.515364381866007</v>
      </c>
      <c r="F76" s="112">
        <v>330</v>
      </c>
      <c r="G76" s="112">
        <v>281</v>
      </c>
      <c r="H76" s="112"/>
      <c r="I76" s="105">
        <f t="shared" si="41"/>
        <v>2105.44</v>
      </c>
      <c r="J76" s="113">
        <v>1132.44</v>
      </c>
      <c r="K76" s="113">
        <f>+SUM(L76:U76)</f>
        <v>667.15</v>
      </c>
      <c r="L76" s="113">
        <v>136</v>
      </c>
      <c r="M76" s="113">
        <v>22.87</v>
      </c>
      <c r="N76" s="113">
        <v>48.85</v>
      </c>
      <c r="O76" s="113">
        <v>194.16</v>
      </c>
      <c r="P76" s="113">
        <v>0</v>
      </c>
      <c r="Q76" s="113">
        <v>0</v>
      </c>
      <c r="R76" s="113">
        <v>0</v>
      </c>
      <c r="S76" s="113">
        <v>0</v>
      </c>
      <c r="T76" s="113">
        <v>70.2</v>
      </c>
      <c r="U76" s="113">
        <v>195.07</v>
      </c>
      <c r="V76" s="113">
        <v>305.85</v>
      </c>
      <c r="W76" s="104">
        <f>+SUM(X76:Y76,AJ76)</f>
        <v>2262.05</v>
      </c>
      <c r="X76" s="113">
        <v>1216.67</v>
      </c>
      <c r="Y76" s="113">
        <f>+SUM(Z76:AI76)</f>
        <v>716.78</v>
      </c>
      <c r="Z76" s="113">
        <v>146.12</v>
      </c>
      <c r="AA76" s="113">
        <v>24.57</v>
      </c>
      <c r="AB76" s="113">
        <v>52.49</v>
      </c>
      <c r="AC76" s="113">
        <v>208.6</v>
      </c>
      <c r="AD76" s="113">
        <v>0</v>
      </c>
      <c r="AE76" s="113">
        <v>0</v>
      </c>
      <c r="AF76" s="113">
        <v>0</v>
      </c>
      <c r="AG76" s="113">
        <v>0</v>
      </c>
      <c r="AH76" s="113">
        <v>75.42</v>
      </c>
      <c r="AI76" s="113">
        <v>209.58</v>
      </c>
      <c r="AJ76" s="113">
        <v>328.6</v>
      </c>
      <c r="AK76" s="113">
        <f t="shared" si="42"/>
        <v>156.61000000000013</v>
      </c>
      <c r="AL76" s="151">
        <f t="shared" si="43"/>
        <v>939.6600000000008</v>
      </c>
      <c r="AM76" s="142"/>
      <c r="AN76" s="142"/>
      <c r="AO76" s="142"/>
      <c r="AP76" s="142"/>
      <c r="AQ76" s="142"/>
      <c r="AR76" s="142"/>
    </row>
    <row r="77" spans="2:44" s="75" customFormat="1" ht="12.75">
      <c r="B77" s="71">
        <v>4</v>
      </c>
      <c r="C77" s="73" t="s">
        <v>118</v>
      </c>
      <c r="D77" s="84" t="e">
        <f t="shared" si="5"/>
        <v>#DIV/0!</v>
      </c>
      <c r="E77" s="84" t="e">
        <f t="shared" si="6"/>
        <v>#DIV/0!</v>
      </c>
      <c r="F77" s="72">
        <f aca="true" t="shared" si="44" ref="F77:V77">+F78+F79</f>
        <v>0</v>
      </c>
      <c r="G77" s="72">
        <f t="shared" si="44"/>
        <v>0</v>
      </c>
      <c r="H77" s="72"/>
      <c r="I77" s="79">
        <f t="shared" si="44"/>
        <v>0</v>
      </c>
      <c r="J77" s="79">
        <f t="shared" si="44"/>
        <v>0</v>
      </c>
      <c r="K77" s="79">
        <f t="shared" si="44"/>
        <v>0</v>
      </c>
      <c r="L77" s="79">
        <f t="shared" si="44"/>
        <v>0</v>
      </c>
      <c r="M77" s="79">
        <f t="shared" si="44"/>
        <v>0</v>
      </c>
      <c r="N77" s="79">
        <f t="shared" si="44"/>
        <v>0</v>
      </c>
      <c r="O77" s="79">
        <f t="shared" si="44"/>
        <v>0</v>
      </c>
      <c r="P77" s="79">
        <f t="shared" si="44"/>
        <v>0</v>
      </c>
      <c r="Q77" s="79">
        <f t="shared" si="44"/>
        <v>0</v>
      </c>
      <c r="R77" s="79">
        <f t="shared" si="44"/>
        <v>0</v>
      </c>
      <c r="S77" s="79">
        <f t="shared" si="44"/>
        <v>0</v>
      </c>
      <c r="T77" s="79">
        <f t="shared" si="44"/>
        <v>0</v>
      </c>
      <c r="U77" s="79">
        <f t="shared" si="44"/>
        <v>0</v>
      </c>
      <c r="V77" s="79">
        <f t="shared" si="44"/>
        <v>0</v>
      </c>
      <c r="W77" s="81">
        <f>+W78+W79</f>
        <v>0</v>
      </c>
      <c r="X77" s="79">
        <f aca="true" t="shared" si="45" ref="X77:AL77">+X78+X79</f>
        <v>0</v>
      </c>
      <c r="Y77" s="79">
        <f t="shared" si="45"/>
        <v>0</v>
      </c>
      <c r="Z77" s="79">
        <f t="shared" si="45"/>
        <v>0</v>
      </c>
      <c r="AA77" s="79">
        <f t="shared" si="45"/>
        <v>0</v>
      </c>
      <c r="AB77" s="79">
        <f t="shared" si="45"/>
        <v>0</v>
      </c>
      <c r="AC77" s="79">
        <f t="shared" si="45"/>
        <v>0</v>
      </c>
      <c r="AD77" s="79">
        <f t="shared" si="45"/>
        <v>0</v>
      </c>
      <c r="AE77" s="79">
        <f t="shared" si="45"/>
        <v>0</v>
      </c>
      <c r="AF77" s="79">
        <f t="shared" si="45"/>
        <v>0</v>
      </c>
      <c r="AG77" s="79">
        <f t="shared" si="45"/>
        <v>0</v>
      </c>
      <c r="AH77" s="79">
        <f t="shared" si="45"/>
        <v>0</v>
      </c>
      <c r="AI77" s="79">
        <f t="shared" si="45"/>
        <v>0</v>
      </c>
      <c r="AJ77" s="79">
        <f t="shared" si="45"/>
        <v>0</v>
      </c>
      <c r="AK77" s="79">
        <f t="shared" si="45"/>
        <v>0</v>
      </c>
      <c r="AL77" s="150">
        <f t="shared" si="45"/>
        <v>0</v>
      </c>
      <c r="AM77" s="74"/>
      <c r="AN77" s="74"/>
      <c r="AO77" s="74"/>
      <c r="AP77" s="74"/>
      <c r="AQ77" s="74"/>
      <c r="AR77" s="74"/>
    </row>
    <row r="78" spans="1:44" s="143" customFormat="1" ht="12.75">
      <c r="A78" s="99" t="s">
        <v>240</v>
      </c>
      <c r="B78" s="110"/>
      <c r="C78" s="159" t="s">
        <v>176</v>
      </c>
      <c r="D78" s="102" t="e">
        <f t="shared" si="5"/>
        <v>#DIV/0!</v>
      </c>
      <c r="E78" s="102" t="e">
        <f t="shared" si="6"/>
        <v>#DIV/0!</v>
      </c>
      <c r="F78" s="112">
        <v>0</v>
      </c>
      <c r="G78" s="112">
        <v>0</v>
      </c>
      <c r="H78" s="112"/>
      <c r="I78" s="105">
        <f aca="true" t="shared" si="46" ref="I78:I91">+SUM(J78:K78,V78)</f>
        <v>0</v>
      </c>
      <c r="J78" s="113">
        <v>0</v>
      </c>
      <c r="K78" s="113">
        <f aca="true" t="shared" si="47" ref="K78:K83">+SUM(L78:U78)</f>
        <v>0</v>
      </c>
      <c r="L78" s="113">
        <v>0</v>
      </c>
      <c r="M78" s="113">
        <v>0</v>
      </c>
      <c r="N78" s="113">
        <v>0</v>
      </c>
      <c r="O78" s="113">
        <v>0</v>
      </c>
      <c r="P78" s="113">
        <v>0</v>
      </c>
      <c r="Q78" s="113">
        <v>0</v>
      </c>
      <c r="R78" s="113">
        <v>0</v>
      </c>
      <c r="S78" s="113">
        <v>0</v>
      </c>
      <c r="T78" s="113">
        <v>0</v>
      </c>
      <c r="U78" s="113">
        <v>0</v>
      </c>
      <c r="V78" s="113">
        <v>0</v>
      </c>
      <c r="W78" s="104">
        <f>+SUM(X78:Y78,AJ78)</f>
        <v>0</v>
      </c>
      <c r="X78" s="113">
        <v>0</v>
      </c>
      <c r="Y78" s="113">
        <f>+SUM(Z78:AI78)</f>
        <v>0</v>
      </c>
      <c r="Z78" s="113">
        <v>0</v>
      </c>
      <c r="AA78" s="113">
        <v>0</v>
      </c>
      <c r="AB78" s="113">
        <v>0</v>
      </c>
      <c r="AC78" s="113">
        <v>0</v>
      </c>
      <c r="AD78" s="113">
        <v>0</v>
      </c>
      <c r="AE78" s="113">
        <v>0</v>
      </c>
      <c r="AF78" s="113">
        <v>0</v>
      </c>
      <c r="AG78" s="113">
        <v>0</v>
      </c>
      <c r="AH78" s="113">
        <v>0</v>
      </c>
      <c r="AI78" s="113">
        <v>0</v>
      </c>
      <c r="AJ78" s="113">
        <v>0</v>
      </c>
      <c r="AK78" s="113">
        <f aca="true" t="shared" si="48" ref="AK78:AK91">+W78-I78</f>
        <v>0</v>
      </c>
      <c r="AL78" s="151">
        <f>+AK78*8</f>
        <v>0</v>
      </c>
      <c r="AM78" s="142"/>
      <c r="AN78" s="142"/>
      <c r="AO78" s="142"/>
      <c r="AP78" s="142"/>
      <c r="AQ78" s="142"/>
      <c r="AR78" s="142"/>
    </row>
    <row r="79" spans="1:44" s="83" customFormat="1" ht="25.5">
      <c r="A79" s="70" t="s">
        <v>240</v>
      </c>
      <c r="B79" s="76"/>
      <c r="C79" s="86" t="s">
        <v>213</v>
      </c>
      <c r="D79" s="84" t="e">
        <f t="shared" si="5"/>
        <v>#DIV/0!</v>
      </c>
      <c r="E79" s="84" t="e">
        <f t="shared" si="6"/>
        <v>#DIV/0!</v>
      </c>
      <c r="F79" s="78">
        <v>0</v>
      </c>
      <c r="G79" s="78">
        <v>0</v>
      </c>
      <c r="H79" s="78"/>
      <c r="I79" s="79">
        <f t="shared" si="46"/>
        <v>0</v>
      </c>
      <c r="J79" s="80">
        <v>0</v>
      </c>
      <c r="K79" s="80">
        <f t="shared" si="47"/>
        <v>0</v>
      </c>
      <c r="L79" s="80">
        <v>0</v>
      </c>
      <c r="M79" s="80">
        <v>0</v>
      </c>
      <c r="N79" s="80">
        <v>0</v>
      </c>
      <c r="O79" s="80">
        <v>0</v>
      </c>
      <c r="P79" s="80">
        <v>0</v>
      </c>
      <c r="Q79" s="80">
        <v>0</v>
      </c>
      <c r="R79" s="80">
        <v>0</v>
      </c>
      <c r="S79" s="80">
        <v>0</v>
      </c>
      <c r="T79" s="80">
        <v>0</v>
      </c>
      <c r="U79" s="80">
        <v>0</v>
      </c>
      <c r="V79" s="80">
        <v>0</v>
      </c>
      <c r="W79" s="88">
        <f>+SUM(X79:Y79,AJ79)</f>
        <v>0</v>
      </c>
      <c r="X79" s="80">
        <v>0</v>
      </c>
      <c r="Y79" s="80">
        <f>+SUM(Z79:AI79)</f>
        <v>0</v>
      </c>
      <c r="Z79" s="80">
        <v>0</v>
      </c>
      <c r="AA79" s="80">
        <v>0</v>
      </c>
      <c r="AB79" s="80">
        <v>0</v>
      </c>
      <c r="AC79" s="80">
        <v>0</v>
      </c>
      <c r="AD79" s="80">
        <v>0</v>
      </c>
      <c r="AE79" s="80">
        <v>0</v>
      </c>
      <c r="AF79" s="80">
        <v>0</v>
      </c>
      <c r="AG79" s="80">
        <v>0</v>
      </c>
      <c r="AH79" s="80">
        <v>0</v>
      </c>
      <c r="AI79" s="80">
        <v>0</v>
      </c>
      <c r="AJ79" s="80">
        <v>0</v>
      </c>
      <c r="AK79" s="80">
        <f t="shared" si="48"/>
        <v>0</v>
      </c>
      <c r="AL79" s="149">
        <f>+AK79*8</f>
        <v>0</v>
      </c>
      <c r="AM79" s="82"/>
      <c r="AN79" s="82"/>
      <c r="AO79" s="82"/>
      <c r="AP79" s="82"/>
      <c r="AQ79" s="82"/>
      <c r="AR79" s="82"/>
    </row>
    <row r="80" spans="1:44" s="75" customFormat="1" ht="12.75">
      <c r="A80" s="70"/>
      <c r="B80" s="71" t="s">
        <v>157</v>
      </c>
      <c r="C80" s="73" t="s">
        <v>156</v>
      </c>
      <c r="D80" s="84">
        <f t="shared" si="5"/>
        <v>3.1807977662544875</v>
      </c>
      <c r="E80" s="84">
        <f t="shared" si="6"/>
        <v>4.5064938173115285</v>
      </c>
      <c r="F80" s="72">
        <f>+SUM(F81:F91)</f>
        <v>134</v>
      </c>
      <c r="G80" s="72">
        <f aca="true" t="shared" si="49" ref="G80:AN80">+SUM(G81:G91)</f>
        <v>109</v>
      </c>
      <c r="H80" s="72">
        <f t="shared" si="49"/>
        <v>725.4</v>
      </c>
      <c r="I80" s="72">
        <f t="shared" si="49"/>
        <v>564.889</v>
      </c>
      <c r="J80" s="72">
        <f t="shared" si="49"/>
        <v>398.71299999999997</v>
      </c>
      <c r="K80" s="72">
        <f t="shared" si="49"/>
        <v>48.508</v>
      </c>
      <c r="L80" s="72">
        <f t="shared" si="49"/>
        <v>3.4</v>
      </c>
      <c r="M80" s="72">
        <f t="shared" si="49"/>
        <v>18.116</v>
      </c>
      <c r="N80" s="72">
        <f t="shared" si="49"/>
        <v>1.46</v>
      </c>
      <c r="O80" s="72">
        <f t="shared" si="49"/>
        <v>24.520000000000003</v>
      </c>
      <c r="P80" s="72">
        <f t="shared" si="49"/>
        <v>0</v>
      </c>
      <c r="Q80" s="72">
        <f t="shared" si="49"/>
        <v>0</v>
      </c>
      <c r="R80" s="72">
        <f t="shared" si="49"/>
        <v>0</v>
      </c>
      <c r="S80" s="72">
        <f t="shared" si="49"/>
        <v>0.72</v>
      </c>
      <c r="T80" s="72">
        <f t="shared" si="49"/>
        <v>0.04</v>
      </c>
      <c r="U80" s="72">
        <f t="shared" si="49"/>
        <v>0.242</v>
      </c>
      <c r="V80" s="72">
        <f t="shared" si="49"/>
        <v>117.668</v>
      </c>
      <c r="W80" s="72">
        <f t="shared" si="49"/>
        <v>611.5732999999999</v>
      </c>
      <c r="X80" s="72">
        <f t="shared" si="49"/>
        <v>431.574</v>
      </c>
      <c r="Y80" s="72">
        <f t="shared" si="49"/>
        <v>52.745000000000005</v>
      </c>
      <c r="Z80" s="72">
        <f t="shared" si="49"/>
        <v>4.41</v>
      </c>
      <c r="AA80" s="72">
        <f t="shared" si="49"/>
        <v>19.384999999999998</v>
      </c>
      <c r="AB80" s="72">
        <f t="shared" si="49"/>
        <v>1.5899999999999999</v>
      </c>
      <c r="AC80" s="72">
        <f t="shared" si="49"/>
        <v>26.32</v>
      </c>
      <c r="AD80" s="72">
        <f t="shared" si="49"/>
        <v>0</v>
      </c>
      <c r="AE80" s="72">
        <f t="shared" si="49"/>
        <v>0</v>
      </c>
      <c r="AF80" s="72">
        <f t="shared" si="49"/>
        <v>0</v>
      </c>
      <c r="AG80" s="72">
        <f t="shared" si="49"/>
        <v>0.78</v>
      </c>
      <c r="AH80" s="72">
        <f t="shared" si="49"/>
        <v>0</v>
      </c>
      <c r="AI80" s="72">
        <f t="shared" si="49"/>
        <v>0.26</v>
      </c>
      <c r="AJ80" s="72">
        <f t="shared" si="49"/>
        <v>127.25429999999999</v>
      </c>
      <c r="AK80" s="72">
        <f t="shared" si="49"/>
        <v>46.68430000000001</v>
      </c>
      <c r="AL80" s="79">
        <f>+SUM(AL81:AL91)</f>
        <v>280.10580000000004</v>
      </c>
      <c r="AM80" s="72">
        <f t="shared" si="49"/>
        <v>0</v>
      </c>
      <c r="AN80" s="72">
        <f t="shared" si="49"/>
        <v>0</v>
      </c>
      <c r="AO80" s="74"/>
      <c r="AP80" s="74"/>
      <c r="AQ80" s="74"/>
      <c r="AR80" s="74"/>
    </row>
    <row r="81" spans="1:44" s="143" customFormat="1" ht="25.5">
      <c r="A81" s="99"/>
      <c r="B81" s="110">
        <v>1</v>
      </c>
      <c r="C81" s="159" t="s">
        <v>186</v>
      </c>
      <c r="D81" s="102">
        <f t="shared" si="5"/>
        <v>1.956521739130435</v>
      </c>
      <c r="E81" s="102">
        <f t="shared" si="6"/>
        <v>3.0434782608695654</v>
      </c>
      <c r="F81" s="112">
        <v>8</v>
      </c>
      <c r="G81" s="112">
        <v>8</v>
      </c>
      <c r="H81" s="112"/>
      <c r="I81" s="105">
        <f t="shared" si="46"/>
        <v>28</v>
      </c>
      <c r="J81" s="113">
        <v>18</v>
      </c>
      <c r="K81" s="113">
        <f t="shared" si="47"/>
        <v>4</v>
      </c>
      <c r="L81" s="113">
        <v>3</v>
      </c>
      <c r="M81" s="113">
        <v>1</v>
      </c>
      <c r="N81" s="113">
        <v>0</v>
      </c>
      <c r="O81" s="113">
        <v>0</v>
      </c>
      <c r="P81" s="113">
        <v>0</v>
      </c>
      <c r="Q81" s="113">
        <v>0</v>
      </c>
      <c r="R81" s="113">
        <v>0</v>
      </c>
      <c r="S81" s="113">
        <v>0</v>
      </c>
      <c r="T81" s="113">
        <v>0</v>
      </c>
      <c r="U81" s="113">
        <v>0</v>
      </c>
      <c r="V81" s="113">
        <v>6</v>
      </c>
      <c r="W81" s="104">
        <f>+SUM(X81:Y81,AJ81)</f>
        <v>32</v>
      </c>
      <c r="X81" s="113">
        <v>20</v>
      </c>
      <c r="Y81" s="113">
        <f>+SUM(Z81:AI81)</f>
        <v>5</v>
      </c>
      <c r="Z81" s="113">
        <v>4</v>
      </c>
      <c r="AA81" s="113">
        <v>1</v>
      </c>
      <c r="AB81" s="113">
        <v>0</v>
      </c>
      <c r="AC81" s="113">
        <v>0</v>
      </c>
      <c r="AD81" s="113">
        <v>0</v>
      </c>
      <c r="AE81" s="113">
        <v>0</v>
      </c>
      <c r="AF81" s="113">
        <v>0</v>
      </c>
      <c r="AG81" s="113">
        <v>0</v>
      </c>
      <c r="AH81" s="113">
        <v>0</v>
      </c>
      <c r="AI81" s="113">
        <v>0</v>
      </c>
      <c r="AJ81" s="113">
        <v>7</v>
      </c>
      <c r="AK81" s="113">
        <f t="shared" si="48"/>
        <v>4</v>
      </c>
      <c r="AL81" s="151">
        <f aca="true" t="shared" si="50" ref="AL81:AL86">+AK81*6</f>
        <v>24</v>
      </c>
      <c r="AM81" s="142"/>
      <c r="AN81" s="142"/>
      <c r="AO81" s="142"/>
      <c r="AP81" s="142"/>
      <c r="AQ81" s="142"/>
      <c r="AR81" s="142"/>
    </row>
    <row r="82" spans="1:44" s="143" customFormat="1" ht="14.25" customHeight="1">
      <c r="A82" s="99"/>
      <c r="B82" s="110">
        <v>2</v>
      </c>
      <c r="C82" s="159" t="s">
        <v>187</v>
      </c>
      <c r="D82" s="102">
        <f t="shared" si="5"/>
        <v>3.3497584541062806</v>
      </c>
      <c r="E82" s="102">
        <f t="shared" si="6"/>
        <v>4.660869565217391</v>
      </c>
      <c r="F82" s="112">
        <v>12</v>
      </c>
      <c r="G82" s="112">
        <v>9</v>
      </c>
      <c r="H82" s="112"/>
      <c r="I82" s="105">
        <f t="shared" si="46"/>
        <v>48.239999999999995</v>
      </c>
      <c r="J82" s="113">
        <v>34.67</v>
      </c>
      <c r="K82" s="113">
        <f t="shared" si="47"/>
        <v>2.3</v>
      </c>
      <c r="L82" s="113">
        <v>0</v>
      </c>
      <c r="M82" s="113">
        <v>2.3</v>
      </c>
      <c r="N82" s="113">
        <v>0</v>
      </c>
      <c r="O82" s="113">
        <v>0</v>
      </c>
      <c r="P82" s="113">
        <v>0</v>
      </c>
      <c r="Q82" s="113">
        <v>0</v>
      </c>
      <c r="R82" s="113">
        <v>0</v>
      </c>
      <c r="S82" s="113">
        <v>0</v>
      </c>
      <c r="T82" s="113">
        <v>0</v>
      </c>
      <c r="U82" s="113">
        <v>0</v>
      </c>
      <c r="V82" s="113">
        <v>11.27</v>
      </c>
      <c r="W82" s="104">
        <f>+SUM(X82:Y82,AJ82)</f>
        <v>54.85</v>
      </c>
      <c r="X82" s="113">
        <v>40.14</v>
      </c>
      <c r="Y82" s="113">
        <f>+SUM(Z82:AI82)</f>
        <v>2.47</v>
      </c>
      <c r="Z82" s="113">
        <v>0</v>
      </c>
      <c r="AA82" s="113">
        <v>2.47</v>
      </c>
      <c r="AB82" s="113">
        <v>0</v>
      </c>
      <c r="AC82" s="113">
        <v>0</v>
      </c>
      <c r="AD82" s="113">
        <v>0</v>
      </c>
      <c r="AE82" s="113">
        <v>0</v>
      </c>
      <c r="AF82" s="113">
        <v>0</v>
      </c>
      <c r="AG82" s="113">
        <v>0</v>
      </c>
      <c r="AH82" s="113">
        <v>0</v>
      </c>
      <c r="AI82" s="113">
        <v>0</v>
      </c>
      <c r="AJ82" s="113">
        <v>12.24</v>
      </c>
      <c r="AK82" s="113">
        <f>+W82-I82</f>
        <v>6.6100000000000065</v>
      </c>
      <c r="AL82" s="151">
        <f t="shared" si="50"/>
        <v>39.66000000000004</v>
      </c>
      <c r="AM82" s="142"/>
      <c r="AN82" s="142"/>
      <c r="AO82" s="142"/>
      <c r="AP82" s="142"/>
      <c r="AQ82" s="142"/>
      <c r="AR82" s="142"/>
    </row>
    <row r="83" spans="1:44" s="143" customFormat="1" ht="14.25" customHeight="1">
      <c r="A83" s="99"/>
      <c r="B83" s="76">
        <v>3</v>
      </c>
      <c r="C83" s="159" t="s">
        <v>188</v>
      </c>
      <c r="D83" s="102">
        <f t="shared" si="5"/>
        <v>3.228616600790514</v>
      </c>
      <c r="E83" s="102">
        <f t="shared" si="6"/>
        <v>4.514861660079052</v>
      </c>
      <c r="F83" s="112">
        <v>12</v>
      </c>
      <c r="G83" s="112">
        <v>11</v>
      </c>
      <c r="H83" s="112"/>
      <c r="I83" s="105">
        <f t="shared" si="46"/>
        <v>57.113</v>
      </c>
      <c r="J83" s="113">
        <v>40.842</v>
      </c>
      <c r="K83" s="113">
        <f t="shared" si="47"/>
        <v>2.299</v>
      </c>
      <c r="L83" s="113">
        <v>0</v>
      </c>
      <c r="M83" s="113">
        <v>2.299</v>
      </c>
      <c r="N83" s="113">
        <v>0</v>
      </c>
      <c r="O83" s="113">
        <v>0</v>
      </c>
      <c r="P83" s="113">
        <v>0</v>
      </c>
      <c r="Q83" s="113">
        <v>0</v>
      </c>
      <c r="R83" s="113">
        <v>0</v>
      </c>
      <c r="S83" s="113">
        <v>0</v>
      </c>
      <c r="T83" s="113">
        <v>0</v>
      </c>
      <c r="U83" s="113">
        <v>0</v>
      </c>
      <c r="V83" s="113">
        <v>13.972</v>
      </c>
      <c r="W83" s="104">
        <f>+SUM(X83:Y83,AJ83)</f>
        <v>61.362</v>
      </c>
      <c r="X83" s="113">
        <v>43.88</v>
      </c>
      <c r="Y83" s="113">
        <f>+SUM(Z83:AI83)</f>
        <v>2.47</v>
      </c>
      <c r="Z83" s="113">
        <v>0</v>
      </c>
      <c r="AA83" s="113">
        <v>2.47</v>
      </c>
      <c r="AB83" s="113">
        <v>0</v>
      </c>
      <c r="AC83" s="113">
        <v>0</v>
      </c>
      <c r="AD83" s="113">
        <v>0</v>
      </c>
      <c r="AE83" s="113">
        <v>0</v>
      </c>
      <c r="AF83" s="113">
        <v>0</v>
      </c>
      <c r="AG83" s="113">
        <v>0</v>
      </c>
      <c r="AH83" s="113">
        <v>0</v>
      </c>
      <c r="AI83" s="113">
        <v>0</v>
      </c>
      <c r="AJ83" s="113">
        <v>15.012</v>
      </c>
      <c r="AK83" s="113">
        <f t="shared" si="48"/>
        <v>4.249000000000002</v>
      </c>
      <c r="AL83" s="151">
        <f t="shared" si="50"/>
        <v>25.494000000000014</v>
      </c>
      <c r="AM83" s="142"/>
      <c r="AN83" s="142"/>
      <c r="AO83" s="142"/>
      <c r="AP83" s="142"/>
      <c r="AQ83" s="142"/>
      <c r="AR83" s="142"/>
    </row>
    <row r="84" spans="1:44" s="143" customFormat="1" ht="27" customHeight="1">
      <c r="A84" s="99"/>
      <c r="B84" s="110"/>
      <c r="C84" s="159" t="s">
        <v>189</v>
      </c>
      <c r="D84" s="102">
        <f t="shared" si="5"/>
        <v>2.582675585284281</v>
      </c>
      <c r="E84" s="102">
        <f t="shared" si="6"/>
        <v>3.439531772575251</v>
      </c>
      <c r="F84" s="112">
        <v>12</v>
      </c>
      <c r="G84" s="112">
        <v>13</v>
      </c>
      <c r="H84" s="112"/>
      <c r="I84" s="105">
        <f t="shared" si="46"/>
        <v>51.421</v>
      </c>
      <c r="J84" s="113">
        <v>38.611</v>
      </c>
      <c r="K84" s="113">
        <f aca="true" t="shared" si="51" ref="K84:K91">+SUM(L84:U84)</f>
        <v>2.904</v>
      </c>
      <c r="L84" s="113">
        <v>0</v>
      </c>
      <c r="M84" s="113">
        <v>2.662</v>
      </c>
      <c r="N84" s="113">
        <v>0</v>
      </c>
      <c r="O84" s="113">
        <v>0</v>
      </c>
      <c r="P84" s="113">
        <v>0</v>
      </c>
      <c r="Q84" s="113">
        <v>0</v>
      </c>
      <c r="R84" s="113">
        <v>0</v>
      </c>
      <c r="S84" s="113">
        <v>0</v>
      </c>
      <c r="T84" s="113">
        <v>0</v>
      </c>
      <c r="U84" s="113">
        <v>0.242</v>
      </c>
      <c r="V84" s="113">
        <v>9.906</v>
      </c>
      <c r="W84" s="104">
        <f>+SUM(X84:Y84,AJ84)</f>
        <v>55.24529999999999</v>
      </c>
      <c r="X84" s="113">
        <v>41.483</v>
      </c>
      <c r="Y84" s="113">
        <f>+SUM(Z84:AI84)</f>
        <v>3.12</v>
      </c>
      <c r="Z84" s="113">
        <v>0</v>
      </c>
      <c r="AA84" s="113">
        <v>2.86</v>
      </c>
      <c r="AB84" s="113">
        <v>0</v>
      </c>
      <c r="AC84" s="113">
        <v>0</v>
      </c>
      <c r="AD84" s="113">
        <v>0</v>
      </c>
      <c r="AE84" s="113">
        <v>0</v>
      </c>
      <c r="AF84" s="113">
        <v>0</v>
      </c>
      <c r="AG84" s="113">
        <v>0</v>
      </c>
      <c r="AH84" s="113">
        <v>0</v>
      </c>
      <c r="AI84" s="113">
        <v>0.26</v>
      </c>
      <c r="AJ84" s="113">
        <v>10.6423</v>
      </c>
      <c r="AK84" s="113">
        <f t="shared" si="48"/>
        <v>3.824299999999994</v>
      </c>
      <c r="AL84" s="151">
        <f t="shared" si="50"/>
        <v>22.945799999999963</v>
      </c>
      <c r="AM84" s="142"/>
      <c r="AN84" s="142"/>
      <c r="AO84" s="142"/>
      <c r="AP84" s="142"/>
      <c r="AQ84" s="142"/>
      <c r="AR84" s="142"/>
    </row>
    <row r="85" spans="1:44" s="143" customFormat="1" ht="14.25" customHeight="1">
      <c r="A85" s="99"/>
      <c r="B85" s="110">
        <v>5</v>
      </c>
      <c r="C85" s="159" t="s">
        <v>230</v>
      </c>
      <c r="D85" s="102">
        <f t="shared" si="5"/>
        <v>3.547826086956522</v>
      </c>
      <c r="E85" s="102">
        <f t="shared" si="6"/>
        <v>5.4278260869565225</v>
      </c>
      <c r="F85" s="112">
        <v>32</v>
      </c>
      <c r="G85" s="112">
        <v>20</v>
      </c>
      <c r="H85" s="112"/>
      <c r="I85" s="105">
        <f t="shared" si="46"/>
        <v>124.84</v>
      </c>
      <c r="J85" s="113">
        <v>81.6</v>
      </c>
      <c r="K85" s="113">
        <f t="shared" si="51"/>
        <v>23.46</v>
      </c>
      <c r="L85" s="113">
        <v>0.4</v>
      </c>
      <c r="M85" s="113">
        <v>3.3</v>
      </c>
      <c r="N85" s="113">
        <v>1.1</v>
      </c>
      <c r="O85" s="113">
        <v>18.3</v>
      </c>
      <c r="P85" s="113">
        <v>0</v>
      </c>
      <c r="Q85" s="113">
        <v>0</v>
      </c>
      <c r="R85" s="113">
        <v>0</v>
      </c>
      <c r="S85" s="113">
        <v>0.36</v>
      </c>
      <c r="T85" s="113">
        <v>0</v>
      </c>
      <c r="U85" s="113">
        <v>0</v>
      </c>
      <c r="V85" s="113">
        <v>19.78</v>
      </c>
      <c r="W85" s="104">
        <f aca="true" t="shared" si="52" ref="W85:W91">+SUM(X85:Y85,AJ85)</f>
        <v>133.78</v>
      </c>
      <c r="X85" s="113">
        <v>87.3</v>
      </c>
      <c r="Y85" s="113">
        <f aca="true" t="shared" si="53" ref="Y85:Y91">+SUM(Z85:AI85)</f>
        <v>25.3</v>
      </c>
      <c r="Z85" s="113">
        <v>0.41</v>
      </c>
      <c r="AA85" s="113">
        <v>3.6</v>
      </c>
      <c r="AB85" s="113">
        <v>1.2</v>
      </c>
      <c r="AC85" s="113">
        <v>19.7</v>
      </c>
      <c r="AD85" s="113">
        <v>0</v>
      </c>
      <c r="AE85" s="113">
        <v>0</v>
      </c>
      <c r="AF85" s="113">
        <v>0</v>
      </c>
      <c r="AG85" s="113">
        <v>0.39</v>
      </c>
      <c r="AH85" s="113">
        <v>0</v>
      </c>
      <c r="AI85" s="113">
        <v>0</v>
      </c>
      <c r="AJ85" s="113">
        <v>21.18</v>
      </c>
      <c r="AK85" s="113">
        <f t="shared" si="48"/>
        <v>8.939999999999998</v>
      </c>
      <c r="AL85" s="151">
        <f t="shared" si="50"/>
        <v>53.639999999999986</v>
      </c>
      <c r="AM85" s="142"/>
      <c r="AN85" s="142"/>
      <c r="AO85" s="142"/>
      <c r="AP85" s="142"/>
      <c r="AQ85" s="142"/>
      <c r="AR85" s="142"/>
    </row>
    <row r="86" spans="1:44" s="143" customFormat="1" ht="14.25" customHeight="1">
      <c r="A86" s="99"/>
      <c r="B86" s="110">
        <v>6</v>
      </c>
      <c r="C86" s="159" t="s">
        <v>231</v>
      </c>
      <c r="D86" s="102">
        <f t="shared" si="5"/>
        <v>3.527536231884058</v>
      </c>
      <c r="E86" s="102">
        <f t="shared" si="6"/>
        <v>4.621256038647343</v>
      </c>
      <c r="F86" s="112">
        <v>9</v>
      </c>
      <c r="G86" s="112">
        <v>9</v>
      </c>
      <c r="H86" s="112"/>
      <c r="I86" s="105">
        <f t="shared" si="46"/>
        <v>47.83</v>
      </c>
      <c r="J86" s="113">
        <v>36.51</v>
      </c>
      <c r="K86" s="113">
        <v>2.06</v>
      </c>
      <c r="L86" s="113">
        <v>0</v>
      </c>
      <c r="M86" s="113">
        <v>1.69</v>
      </c>
      <c r="N86" s="113">
        <v>0</v>
      </c>
      <c r="O86" s="113">
        <v>0</v>
      </c>
      <c r="P86" s="113">
        <v>0</v>
      </c>
      <c r="Q86" s="113">
        <v>0</v>
      </c>
      <c r="R86" s="113">
        <v>0</v>
      </c>
      <c r="S86" s="113">
        <v>0.36</v>
      </c>
      <c r="T86" s="113">
        <v>0</v>
      </c>
      <c r="U86" s="113">
        <v>0</v>
      </c>
      <c r="V86" s="113">
        <v>9.26</v>
      </c>
      <c r="W86" s="104">
        <f t="shared" si="52"/>
        <v>51.37</v>
      </c>
      <c r="X86" s="113">
        <v>39.22</v>
      </c>
      <c r="Y86" s="113">
        <f t="shared" si="53"/>
        <v>2.21</v>
      </c>
      <c r="Z86" s="113">
        <v>0</v>
      </c>
      <c r="AA86" s="113">
        <v>1.82</v>
      </c>
      <c r="AB86" s="113">
        <v>0</v>
      </c>
      <c r="AC86" s="113">
        <v>0</v>
      </c>
      <c r="AD86" s="113">
        <v>0</v>
      </c>
      <c r="AE86" s="113">
        <v>0</v>
      </c>
      <c r="AF86" s="113">
        <v>0</v>
      </c>
      <c r="AG86" s="113">
        <v>0.39</v>
      </c>
      <c r="AH86" s="113">
        <v>0</v>
      </c>
      <c r="AI86" s="113">
        <v>0</v>
      </c>
      <c r="AJ86" s="113">
        <v>9.94</v>
      </c>
      <c r="AK86" s="113">
        <f t="shared" si="48"/>
        <v>3.539999999999999</v>
      </c>
      <c r="AL86" s="151">
        <f t="shared" si="50"/>
        <v>21.239999999999995</v>
      </c>
      <c r="AM86" s="142"/>
      <c r="AN86" s="142"/>
      <c r="AO86" s="142"/>
      <c r="AP86" s="142"/>
      <c r="AQ86" s="142"/>
      <c r="AR86" s="142"/>
    </row>
    <row r="87" spans="1:44" s="83" customFormat="1" ht="29.25" customHeight="1">
      <c r="A87" s="87"/>
      <c r="B87" s="76">
        <v>7</v>
      </c>
      <c r="C87" s="86" t="s">
        <v>248</v>
      </c>
      <c r="D87" s="84">
        <f t="shared" si="5"/>
        <v>2.7018633540372674</v>
      </c>
      <c r="E87" s="84">
        <f t="shared" si="6"/>
        <v>3.754658385093167</v>
      </c>
      <c r="F87" s="112">
        <v>17</v>
      </c>
      <c r="G87" s="112">
        <v>14</v>
      </c>
      <c r="H87" s="104">
        <f>+I87*12</f>
        <v>725.4</v>
      </c>
      <c r="I87" s="105">
        <f t="shared" si="46"/>
        <v>60.449999999999996</v>
      </c>
      <c r="J87" s="113">
        <v>43.5</v>
      </c>
      <c r="K87" s="113">
        <f>SUM(L87:U87)</f>
        <v>2.3</v>
      </c>
      <c r="L87" s="113">
        <v>0</v>
      </c>
      <c r="M87" s="113">
        <v>2.3</v>
      </c>
      <c r="N87" s="113">
        <v>0</v>
      </c>
      <c r="O87" s="113">
        <v>0</v>
      </c>
      <c r="P87" s="113">
        <v>0</v>
      </c>
      <c r="Q87" s="113">
        <v>0</v>
      </c>
      <c r="R87" s="113">
        <v>0</v>
      </c>
      <c r="S87" s="113">
        <v>0</v>
      </c>
      <c r="T87" s="113">
        <v>0</v>
      </c>
      <c r="U87" s="113">
        <v>0</v>
      </c>
      <c r="V87" s="113">
        <v>14.65</v>
      </c>
      <c r="W87" s="106">
        <f>+SUM(X87:Y87,AJ87)</f>
        <v>64.9</v>
      </c>
      <c r="X87" s="113">
        <v>46.7</v>
      </c>
      <c r="Y87" s="113">
        <f>+SUM(Z87:AI87)</f>
        <v>2.5</v>
      </c>
      <c r="Z87" s="113">
        <v>0</v>
      </c>
      <c r="AA87" s="113">
        <v>2.5</v>
      </c>
      <c r="AB87" s="113">
        <v>0</v>
      </c>
      <c r="AC87" s="113">
        <v>0</v>
      </c>
      <c r="AD87" s="113">
        <v>0</v>
      </c>
      <c r="AE87" s="113">
        <v>0</v>
      </c>
      <c r="AF87" s="113">
        <v>0</v>
      </c>
      <c r="AG87" s="113">
        <v>0</v>
      </c>
      <c r="AH87" s="113">
        <v>0</v>
      </c>
      <c r="AI87" s="113">
        <v>0</v>
      </c>
      <c r="AJ87" s="113">
        <v>15.7</v>
      </c>
      <c r="AK87" s="113">
        <f>+W87-I87</f>
        <v>4.45000000000001</v>
      </c>
      <c r="AL87" s="151">
        <f>AK87*6</f>
        <v>26.70000000000006</v>
      </c>
      <c r="AM87" s="82"/>
      <c r="AN87" s="82"/>
      <c r="AO87" s="82"/>
      <c r="AP87" s="82"/>
      <c r="AQ87" s="82"/>
      <c r="AR87" s="82"/>
    </row>
    <row r="88" spans="1:44" s="143" customFormat="1" ht="14.25" customHeight="1">
      <c r="A88" s="99"/>
      <c r="B88" s="110">
        <v>8</v>
      </c>
      <c r="C88" s="159" t="s">
        <v>232</v>
      </c>
      <c r="D88" s="102">
        <f t="shared" si="5"/>
        <v>3.546739130434783</v>
      </c>
      <c r="E88" s="102">
        <f t="shared" si="6"/>
        <v>4.98858695652174</v>
      </c>
      <c r="F88" s="112">
        <v>13</v>
      </c>
      <c r="G88" s="112">
        <v>8</v>
      </c>
      <c r="H88" s="112"/>
      <c r="I88" s="105">
        <f t="shared" si="46"/>
        <v>45.895</v>
      </c>
      <c r="J88" s="113">
        <v>32.63</v>
      </c>
      <c r="K88" s="113">
        <f>+SUM(L88:U88)</f>
        <v>2.625</v>
      </c>
      <c r="L88" s="113">
        <v>0</v>
      </c>
      <c r="M88" s="113">
        <v>0.605</v>
      </c>
      <c r="N88" s="113">
        <v>0</v>
      </c>
      <c r="O88" s="113">
        <v>2.02</v>
      </c>
      <c r="P88" s="113">
        <v>0</v>
      </c>
      <c r="Q88" s="113">
        <v>0</v>
      </c>
      <c r="R88" s="113">
        <v>0</v>
      </c>
      <c r="S88" s="113">
        <v>0</v>
      </c>
      <c r="T88" s="113">
        <v>0</v>
      </c>
      <c r="U88" s="113">
        <v>0</v>
      </c>
      <c r="V88" s="113">
        <v>10.64</v>
      </c>
      <c r="W88" s="104">
        <f t="shared" si="52"/>
        <v>49.176</v>
      </c>
      <c r="X88" s="113">
        <v>35.061</v>
      </c>
      <c r="Y88" s="113">
        <f t="shared" si="53"/>
        <v>2.705</v>
      </c>
      <c r="Z88" s="113">
        <v>0</v>
      </c>
      <c r="AA88" s="113">
        <v>0.605</v>
      </c>
      <c r="AB88" s="113">
        <v>0</v>
      </c>
      <c r="AC88" s="113">
        <v>2.1</v>
      </c>
      <c r="AD88" s="113">
        <v>0</v>
      </c>
      <c r="AE88" s="113">
        <v>0</v>
      </c>
      <c r="AF88" s="113">
        <v>0</v>
      </c>
      <c r="AG88" s="113">
        <v>0</v>
      </c>
      <c r="AH88" s="113">
        <v>0</v>
      </c>
      <c r="AI88" s="113">
        <v>0</v>
      </c>
      <c r="AJ88" s="113">
        <v>11.41</v>
      </c>
      <c r="AK88" s="113">
        <f t="shared" si="48"/>
        <v>3.280999999999999</v>
      </c>
      <c r="AL88" s="151">
        <f>+AK88*6</f>
        <v>19.685999999999993</v>
      </c>
      <c r="AM88" s="142"/>
      <c r="AN88" s="142"/>
      <c r="AO88" s="142"/>
      <c r="AP88" s="142"/>
      <c r="AQ88" s="142"/>
      <c r="AR88" s="142"/>
    </row>
    <row r="89" spans="1:44" s="143" customFormat="1" ht="14.25" customHeight="1">
      <c r="A89" s="99"/>
      <c r="B89" s="110">
        <v>9</v>
      </c>
      <c r="C89" s="159" t="s">
        <v>233</v>
      </c>
      <c r="D89" s="102">
        <f t="shared" si="5"/>
        <v>3.3652173913043484</v>
      </c>
      <c r="E89" s="102">
        <f t="shared" si="6"/>
        <v>4.589565217391305</v>
      </c>
      <c r="F89" s="112">
        <v>6</v>
      </c>
      <c r="G89" s="112">
        <v>5</v>
      </c>
      <c r="H89" s="112"/>
      <c r="I89" s="105">
        <f t="shared" si="46"/>
        <v>26.39</v>
      </c>
      <c r="J89" s="113">
        <v>19.35</v>
      </c>
      <c r="K89" s="113">
        <f t="shared" si="51"/>
        <v>2.45</v>
      </c>
      <c r="L89" s="113">
        <v>0</v>
      </c>
      <c r="M89" s="113">
        <v>0.85</v>
      </c>
      <c r="N89" s="113">
        <v>0</v>
      </c>
      <c r="O89" s="113">
        <v>1.6</v>
      </c>
      <c r="P89" s="113">
        <v>0</v>
      </c>
      <c r="Q89" s="113">
        <v>0</v>
      </c>
      <c r="R89" s="113">
        <v>0</v>
      </c>
      <c r="S89" s="113">
        <v>0</v>
      </c>
      <c r="T89" s="113">
        <v>0</v>
      </c>
      <c r="U89" s="113">
        <v>0</v>
      </c>
      <c r="V89" s="113">
        <v>4.59</v>
      </c>
      <c r="W89" s="104">
        <f t="shared" si="52"/>
        <v>28.349999999999998</v>
      </c>
      <c r="X89" s="113">
        <v>20.79</v>
      </c>
      <c r="Y89" s="113">
        <f t="shared" si="53"/>
        <v>2.63</v>
      </c>
      <c r="Z89" s="113">
        <v>0</v>
      </c>
      <c r="AA89" s="113">
        <v>0.91</v>
      </c>
      <c r="AB89" s="113">
        <v>0</v>
      </c>
      <c r="AC89" s="113">
        <v>1.72</v>
      </c>
      <c r="AD89" s="113">
        <v>0</v>
      </c>
      <c r="AE89" s="113">
        <v>0</v>
      </c>
      <c r="AF89" s="113">
        <v>0</v>
      </c>
      <c r="AG89" s="113">
        <v>0</v>
      </c>
      <c r="AH89" s="113">
        <v>0</v>
      </c>
      <c r="AI89" s="113">
        <v>0</v>
      </c>
      <c r="AJ89" s="113">
        <v>4.93</v>
      </c>
      <c r="AK89" s="113">
        <f t="shared" si="48"/>
        <v>1.9599999999999973</v>
      </c>
      <c r="AL89" s="151">
        <f>+AK89*6</f>
        <v>11.759999999999984</v>
      </c>
      <c r="AM89" s="142"/>
      <c r="AN89" s="142"/>
      <c r="AO89" s="142"/>
      <c r="AP89" s="142"/>
      <c r="AQ89" s="142"/>
      <c r="AR89" s="142"/>
    </row>
    <row r="90" spans="1:44" s="143" customFormat="1" ht="14.25" customHeight="1">
      <c r="A90" s="99"/>
      <c r="B90" s="110">
        <v>10</v>
      </c>
      <c r="C90" s="159" t="s">
        <v>234</v>
      </c>
      <c r="D90" s="102">
        <f t="shared" si="5"/>
        <v>4.173913043478261</v>
      </c>
      <c r="E90" s="102">
        <f t="shared" si="6"/>
        <v>6.1234782608695655</v>
      </c>
      <c r="F90" s="112">
        <v>6</v>
      </c>
      <c r="G90" s="112">
        <v>5</v>
      </c>
      <c r="H90" s="112"/>
      <c r="I90" s="105">
        <f t="shared" si="46"/>
        <v>35.21</v>
      </c>
      <c r="J90" s="113">
        <v>24</v>
      </c>
      <c r="K90" s="113">
        <f t="shared" si="51"/>
        <v>3.6100000000000003</v>
      </c>
      <c r="L90" s="113">
        <v>0</v>
      </c>
      <c r="M90" s="113">
        <v>0.61</v>
      </c>
      <c r="N90" s="113">
        <v>0.36</v>
      </c>
      <c r="O90" s="113">
        <v>2.6</v>
      </c>
      <c r="P90" s="113">
        <v>0</v>
      </c>
      <c r="Q90" s="113">
        <v>0</v>
      </c>
      <c r="R90" s="113">
        <v>0</v>
      </c>
      <c r="S90" s="113">
        <v>0</v>
      </c>
      <c r="T90" s="113">
        <v>0.04</v>
      </c>
      <c r="U90" s="113">
        <v>0</v>
      </c>
      <c r="V90" s="113">
        <v>7.6</v>
      </c>
      <c r="W90" s="104">
        <f t="shared" si="52"/>
        <v>38.04</v>
      </c>
      <c r="X90" s="113">
        <v>26</v>
      </c>
      <c r="Y90" s="113">
        <f t="shared" si="53"/>
        <v>3.84</v>
      </c>
      <c r="Z90" s="113">
        <v>0</v>
      </c>
      <c r="AA90" s="113">
        <v>0.65</v>
      </c>
      <c r="AB90" s="113">
        <v>0.39</v>
      </c>
      <c r="AC90" s="113">
        <v>2.8</v>
      </c>
      <c r="AD90" s="113">
        <v>0</v>
      </c>
      <c r="AE90" s="113">
        <v>0</v>
      </c>
      <c r="AF90" s="113">
        <v>0</v>
      </c>
      <c r="AG90" s="113">
        <v>0</v>
      </c>
      <c r="AH90" s="113">
        <v>0</v>
      </c>
      <c r="AI90" s="113">
        <v>0</v>
      </c>
      <c r="AJ90" s="113">
        <v>8.2</v>
      </c>
      <c r="AK90" s="113">
        <f t="shared" si="48"/>
        <v>2.8299999999999983</v>
      </c>
      <c r="AL90" s="151">
        <f>+AK90*6</f>
        <v>16.97999999999999</v>
      </c>
      <c r="AM90" s="142"/>
      <c r="AN90" s="142"/>
      <c r="AO90" s="142"/>
      <c r="AP90" s="142"/>
      <c r="AQ90" s="142"/>
      <c r="AR90" s="142"/>
    </row>
    <row r="91" spans="1:44" s="143" customFormat="1" ht="14.25" customHeight="1">
      <c r="A91" s="99"/>
      <c r="B91" s="110">
        <v>11</v>
      </c>
      <c r="C91" s="159" t="s">
        <v>235</v>
      </c>
      <c r="D91" s="102">
        <f t="shared" si="5"/>
        <v>3.60248447204969</v>
      </c>
      <c r="E91" s="102">
        <f t="shared" si="6"/>
        <v>4.906832298136647</v>
      </c>
      <c r="F91" s="112">
        <v>7</v>
      </c>
      <c r="G91" s="112">
        <v>7</v>
      </c>
      <c r="H91" s="112"/>
      <c r="I91" s="105">
        <f t="shared" si="46"/>
        <v>39.5</v>
      </c>
      <c r="J91" s="113">
        <v>29</v>
      </c>
      <c r="K91" s="113">
        <f t="shared" si="51"/>
        <v>0.5</v>
      </c>
      <c r="L91" s="113">
        <v>0</v>
      </c>
      <c r="M91" s="113">
        <v>0.5</v>
      </c>
      <c r="N91" s="113">
        <v>0</v>
      </c>
      <c r="O91" s="113">
        <v>0</v>
      </c>
      <c r="P91" s="113"/>
      <c r="Q91" s="113">
        <v>0</v>
      </c>
      <c r="R91" s="113">
        <v>0</v>
      </c>
      <c r="S91" s="113">
        <v>0</v>
      </c>
      <c r="T91" s="113">
        <v>0</v>
      </c>
      <c r="U91" s="113">
        <v>0</v>
      </c>
      <c r="V91" s="113">
        <v>10</v>
      </c>
      <c r="W91" s="104">
        <f t="shared" si="52"/>
        <v>42.5</v>
      </c>
      <c r="X91" s="113">
        <v>31</v>
      </c>
      <c r="Y91" s="113">
        <f t="shared" si="53"/>
        <v>0.5</v>
      </c>
      <c r="Z91" s="113">
        <v>0</v>
      </c>
      <c r="AA91" s="113">
        <v>0.5</v>
      </c>
      <c r="AB91" s="113">
        <v>0</v>
      </c>
      <c r="AC91" s="113">
        <v>0</v>
      </c>
      <c r="AD91" s="113">
        <v>0</v>
      </c>
      <c r="AE91" s="113">
        <v>0</v>
      </c>
      <c r="AF91" s="113">
        <v>0</v>
      </c>
      <c r="AG91" s="113">
        <v>0</v>
      </c>
      <c r="AH91" s="113">
        <v>0</v>
      </c>
      <c r="AI91" s="113">
        <v>0</v>
      </c>
      <c r="AJ91" s="113">
        <v>11</v>
      </c>
      <c r="AK91" s="113">
        <f t="shared" si="48"/>
        <v>3</v>
      </c>
      <c r="AL91" s="151">
        <f>+AK91*6</f>
        <v>18</v>
      </c>
      <c r="AM91" s="142"/>
      <c r="AN91" s="142"/>
      <c r="AO91" s="142"/>
      <c r="AP91" s="142"/>
      <c r="AQ91" s="142"/>
      <c r="AR91" s="142"/>
    </row>
    <row r="92" spans="1:44" s="75" customFormat="1" ht="25.5">
      <c r="A92" s="70"/>
      <c r="B92" s="71" t="s">
        <v>38</v>
      </c>
      <c r="C92" s="72" t="s">
        <v>39</v>
      </c>
      <c r="D92" s="84"/>
      <c r="E92" s="84"/>
      <c r="F92" s="73">
        <f>+F93+F150</f>
        <v>2007</v>
      </c>
      <c r="G92" s="73">
        <f>+G93+G150</f>
        <v>1923</v>
      </c>
      <c r="H92" s="72"/>
      <c r="I92" s="81">
        <f aca="true" t="shared" si="54" ref="I92:AK92">+I93+I150</f>
        <v>13416.051766824998</v>
      </c>
      <c r="J92" s="81">
        <f t="shared" si="54"/>
        <v>7652.935989999999</v>
      </c>
      <c r="K92" s="81">
        <f t="shared" si="54"/>
        <v>3322.90296565</v>
      </c>
      <c r="L92" s="81">
        <f t="shared" si="54"/>
        <v>18.005</v>
      </c>
      <c r="M92" s="81">
        <f t="shared" si="54"/>
        <v>321.356</v>
      </c>
      <c r="N92" s="81">
        <f t="shared" si="54"/>
        <v>83.558543</v>
      </c>
      <c r="O92" s="81">
        <f t="shared" si="54"/>
        <v>378.27</v>
      </c>
      <c r="P92" s="81">
        <f t="shared" si="54"/>
        <v>22.98</v>
      </c>
      <c r="Q92" s="81">
        <f t="shared" si="54"/>
        <v>0</v>
      </c>
      <c r="R92" s="81">
        <f t="shared" si="54"/>
        <v>1870.4988257500002</v>
      </c>
      <c r="S92" s="81">
        <f t="shared" si="54"/>
        <v>206.8812069</v>
      </c>
      <c r="T92" s="81">
        <f t="shared" si="54"/>
        <v>126.63867</v>
      </c>
      <c r="U92" s="81">
        <f t="shared" si="54"/>
        <v>158.59397</v>
      </c>
      <c r="V92" s="81">
        <f t="shared" si="54"/>
        <v>1870.332811175</v>
      </c>
      <c r="W92" s="81">
        <f t="shared" si="54"/>
        <v>14433.735317249999</v>
      </c>
      <c r="X92" s="81">
        <f t="shared" si="54"/>
        <v>8215.1003</v>
      </c>
      <c r="Y92" s="81">
        <f t="shared" si="54"/>
        <v>3592.423294500001</v>
      </c>
      <c r="Z92" s="81">
        <f t="shared" si="54"/>
        <v>32.23</v>
      </c>
      <c r="AA92" s="81">
        <f t="shared" si="54"/>
        <v>341.79900000000004</v>
      </c>
      <c r="AB92" s="81">
        <f t="shared" si="54"/>
        <v>86.74038999999999</v>
      </c>
      <c r="AC92" s="81">
        <f t="shared" si="54"/>
        <v>409.07599999999996</v>
      </c>
      <c r="AD92" s="81">
        <f t="shared" si="54"/>
        <v>27.4</v>
      </c>
      <c r="AE92" s="81">
        <f t="shared" si="54"/>
        <v>81.14</v>
      </c>
      <c r="AF92" s="81">
        <f t="shared" si="54"/>
        <v>1935.0206474999998</v>
      </c>
      <c r="AG92" s="81">
        <f t="shared" si="54"/>
        <v>222.70605699999996</v>
      </c>
      <c r="AH92" s="81">
        <f t="shared" si="54"/>
        <v>136.70110000000003</v>
      </c>
      <c r="AI92" s="81">
        <f t="shared" si="54"/>
        <v>170.71409999999997</v>
      </c>
      <c r="AJ92" s="81">
        <f t="shared" si="54"/>
        <v>2026.5997227499997</v>
      </c>
      <c r="AK92" s="81">
        <f t="shared" si="54"/>
        <v>972.286300425</v>
      </c>
      <c r="AL92" s="152">
        <f>+AL93+AL150</f>
        <v>6682.263002550002</v>
      </c>
      <c r="AM92" s="74"/>
      <c r="AN92" s="74"/>
      <c r="AO92" s="74"/>
      <c r="AP92" s="74"/>
      <c r="AQ92" s="74"/>
      <c r="AR92" s="74"/>
    </row>
    <row r="93" spans="1:44" s="83" customFormat="1" ht="12.75">
      <c r="A93" s="70"/>
      <c r="B93" s="76"/>
      <c r="C93" s="89" t="s">
        <v>215</v>
      </c>
      <c r="D93" s="84"/>
      <c r="E93" s="84"/>
      <c r="F93" s="73">
        <f>+F94+F95+F98+F99+F100+F101+F102+F105+F109+F110+F111+F115+F118+F119+F122+F127+F130+F134+F145+F148+F149</f>
        <v>1771</v>
      </c>
      <c r="G93" s="73">
        <f>+G94+G95+G98+G99+G100+G101+G102+G105+G109+G110+G111+G115+G118+G119+G122+G127+G130+G134+G145+G148+G149</f>
        <v>1698</v>
      </c>
      <c r="H93" s="78"/>
      <c r="I93" s="81">
        <f aca="true" t="shared" si="55" ref="I93:AD93">+I94+I95+I98+I99+I100+I101+I102+I105+I109+I110+I111+I115+I118+I119+I122+I127+I130+I134+I145+I148+I149</f>
        <v>12007.267519999998</v>
      </c>
      <c r="J93" s="81">
        <f t="shared" si="55"/>
        <v>6796.875589999999</v>
      </c>
      <c r="K93" s="81">
        <f t="shared" si="55"/>
        <v>2953.3618300000003</v>
      </c>
      <c r="L93" s="81">
        <f t="shared" si="55"/>
        <v>18.005</v>
      </c>
      <c r="M93" s="81">
        <f t="shared" si="55"/>
        <v>261.931</v>
      </c>
      <c r="N93" s="81">
        <f t="shared" si="55"/>
        <v>77.05952</v>
      </c>
      <c r="O93" s="81">
        <f t="shared" si="55"/>
        <v>349.818</v>
      </c>
      <c r="P93" s="81">
        <f t="shared" si="55"/>
        <v>22.98</v>
      </c>
      <c r="Q93" s="81">
        <f t="shared" si="55"/>
        <v>0</v>
      </c>
      <c r="R93" s="81">
        <f t="shared" si="55"/>
        <v>1762.6605200000001</v>
      </c>
      <c r="S93" s="81">
        <f t="shared" si="55"/>
        <v>47.7842</v>
      </c>
      <c r="T93" s="81">
        <f t="shared" si="55"/>
        <v>126.63867</v>
      </c>
      <c r="U93" s="81">
        <f t="shared" si="55"/>
        <v>150.36417</v>
      </c>
      <c r="V93" s="81">
        <f t="shared" si="55"/>
        <v>1687.1501</v>
      </c>
      <c r="W93" s="81">
        <f t="shared" si="55"/>
        <v>12907.742699999999</v>
      </c>
      <c r="X93" s="81">
        <f t="shared" si="55"/>
        <v>7296.7997</v>
      </c>
      <c r="Y93" s="81">
        <f t="shared" si="55"/>
        <v>3183.6020000000008</v>
      </c>
      <c r="Z93" s="81">
        <f t="shared" si="55"/>
        <v>19.15</v>
      </c>
      <c r="AA93" s="81">
        <f t="shared" si="55"/>
        <v>279.57300000000004</v>
      </c>
      <c r="AB93" s="81">
        <f t="shared" si="55"/>
        <v>79.63119999999999</v>
      </c>
      <c r="AC93" s="81">
        <f t="shared" si="55"/>
        <v>378.28499999999997</v>
      </c>
      <c r="AD93" s="81">
        <f t="shared" si="55"/>
        <v>27.4</v>
      </c>
      <c r="AE93" s="81">
        <f>+AE94+AE95+AE98+AE99+AE100+AE101+AE102+AE105+AE109+AE110+AE111+AE115+AE118+AE119+AE122+AE127+AE130+AE134+AE145+AE148+AF149</f>
        <v>81.14</v>
      </c>
      <c r="AF93" s="81">
        <f>+AF94+AF95+AF98+AF99+AF100+AF101+AF102+AF105+AF109+AF110+AF111+AF115+AF118+AF119+AF122+AF127+AF130+AF134+AF145+AF148+AG149</f>
        <v>1819.6155999999999</v>
      </c>
      <c r="AG93" s="81">
        <f aca="true" t="shared" si="56" ref="AG93:AN93">+AG94+AG95+AG98+AG99+AG100+AG101+AG102+AG105+AG109+AG110+AG111+AG115+AG118+AG119+AG122+AG127+AG130+AG134+AG145+AG148+AG149</f>
        <v>50.976</v>
      </c>
      <c r="AH93" s="81">
        <f t="shared" si="56"/>
        <v>136.70110000000003</v>
      </c>
      <c r="AI93" s="81">
        <f t="shared" si="56"/>
        <v>162.23409999999998</v>
      </c>
      <c r="AJ93" s="81">
        <f t="shared" si="56"/>
        <v>1827.7289999999998</v>
      </c>
      <c r="AK93" s="81">
        <f t="shared" si="56"/>
        <v>855.0779299999999</v>
      </c>
      <c r="AL93" s="152">
        <f>+AL94+AL95+AL98+AL99+AL100+AL101+AL102+AL105+AL109+AL110+AL111+AL115+AL118+AL119+AL122+AL127+AL130+AL134+AL145+AL148+AL149</f>
        <v>5940.775580000001</v>
      </c>
      <c r="AM93" s="81">
        <f t="shared" si="56"/>
        <v>0</v>
      </c>
      <c r="AN93" s="81">
        <f t="shared" si="56"/>
        <v>34257.12752</v>
      </c>
      <c r="AO93" s="82"/>
      <c r="AP93" s="82"/>
      <c r="AQ93" s="82"/>
      <c r="AR93" s="82"/>
    </row>
    <row r="94" spans="1:44" s="143" customFormat="1" ht="12.75">
      <c r="A94" s="99"/>
      <c r="B94" s="110"/>
      <c r="C94" s="111" t="s">
        <v>119</v>
      </c>
      <c r="D94" s="102">
        <f t="shared" si="5"/>
        <v>3.7778149386845046</v>
      </c>
      <c r="E94" s="102">
        <f t="shared" si="6"/>
        <v>6.2779710144927545</v>
      </c>
      <c r="F94" s="112">
        <v>39</v>
      </c>
      <c r="G94" s="112">
        <v>39</v>
      </c>
      <c r="H94" s="112"/>
      <c r="I94" s="105">
        <f>+SUM(J94:K94,V94)</f>
        <v>281.567</v>
      </c>
      <c r="J94" s="113">
        <v>169.435</v>
      </c>
      <c r="K94" s="113">
        <f aca="true" t="shared" si="57" ref="K94:K101">+SUM(L94:U94)</f>
        <v>68.64800000000001</v>
      </c>
      <c r="L94" s="113">
        <v>0</v>
      </c>
      <c r="M94" s="113">
        <v>15.609</v>
      </c>
      <c r="N94" s="113">
        <v>1.853</v>
      </c>
      <c r="O94" s="113">
        <v>0</v>
      </c>
      <c r="P94" s="113">
        <v>0</v>
      </c>
      <c r="Q94" s="113">
        <v>0</v>
      </c>
      <c r="R94" s="113">
        <v>46.786</v>
      </c>
      <c r="S94" s="113">
        <v>2.54</v>
      </c>
      <c r="T94" s="113">
        <v>0</v>
      </c>
      <c r="U94" s="113">
        <v>1.86</v>
      </c>
      <c r="V94" s="113">
        <v>43.484</v>
      </c>
      <c r="W94" s="106">
        <f aca="true" t="shared" si="58" ref="W94:W149">+SUM(X94:Y94,AJ94)</f>
        <v>301.491</v>
      </c>
      <c r="X94" s="113">
        <v>182.039</v>
      </c>
      <c r="Y94" s="113">
        <f aca="true" t="shared" si="59" ref="Y94:Y109">+SUM(Z94:AI94)</f>
        <v>73.75</v>
      </c>
      <c r="Z94" s="113">
        <v>0</v>
      </c>
      <c r="AA94" s="113">
        <v>16.77</v>
      </c>
      <c r="AB94" s="113">
        <v>1.991</v>
      </c>
      <c r="AC94" s="113">
        <v>0</v>
      </c>
      <c r="AD94" s="113">
        <v>0</v>
      </c>
      <c r="AE94" s="113">
        <v>0</v>
      </c>
      <c r="AF94" s="113">
        <v>50.265</v>
      </c>
      <c r="AG94" s="113">
        <v>2.73</v>
      </c>
      <c r="AH94" s="113">
        <v>0</v>
      </c>
      <c r="AI94" s="113">
        <v>1.994</v>
      </c>
      <c r="AJ94" s="113">
        <v>45.702</v>
      </c>
      <c r="AK94" s="113">
        <f>+W94-I94</f>
        <v>19.923999999999978</v>
      </c>
      <c r="AL94" s="151">
        <f>+AK94*6</f>
        <v>119.54399999999987</v>
      </c>
      <c r="AM94" s="142"/>
      <c r="AN94" s="108">
        <v>717</v>
      </c>
      <c r="AO94" s="142"/>
      <c r="AP94" s="142"/>
      <c r="AQ94" s="142"/>
      <c r="AR94" s="142"/>
    </row>
    <row r="95" spans="1:44" s="75" customFormat="1" ht="12.75">
      <c r="A95" s="70"/>
      <c r="B95" s="71" t="s">
        <v>158</v>
      </c>
      <c r="C95" s="92" t="s">
        <v>120</v>
      </c>
      <c r="D95" s="84">
        <f t="shared" si="5"/>
        <v>0</v>
      </c>
      <c r="E95" s="84">
        <f t="shared" si="6"/>
        <v>6.329007171671897</v>
      </c>
      <c r="F95" s="72">
        <f>+F96+F97</f>
        <v>102</v>
      </c>
      <c r="G95" s="72">
        <f aca="true" t="shared" si="60" ref="G95:AH95">+G96+G97</f>
        <v>97</v>
      </c>
      <c r="H95" s="72"/>
      <c r="I95" s="79">
        <f t="shared" si="60"/>
        <v>706.00075</v>
      </c>
      <c r="J95" s="79">
        <v>0</v>
      </c>
      <c r="K95" s="79">
        <f t="shared" si="60"/>
        <v>136.12075</v>
      </c>
      <c r="L95" s="79">
        <f t="shared" si="60"/>
        <v>0</v>
      </c>
      <c r="M95" s="79">
        <v>0</v>
      </c>
      <c r="N95" s="79">
        <v>0</v>
      </c>
      <c r="O95" s="79">
        <f t="shared" si="60"/>
        <v>0</v>
      </c>
      <c r="P95" s="79">
        <f t="shared" si="60"/>
        <v>0</v>
      </c>
      <c r="Q95" s="79">
        <f t="shared" si="60"/>
        <v>0</v>
      </c>
      <c r="R95" s="79">
        <v>0</v>
      </c>
      <c r="S95" s="79">
        <f t="shared" si="60"/>
        <v>0</v>
      </c>
      <c r="T95" s="79">
        <f t="shared" si="60"/>
        <v>0</v>
      </c>
      <c r="U95" s="79">
        <v>0</v>
      </c>
      <c r="V95" s="79">
        <v>0</v>
      </c>
      <c r="W95" s="81">
        <f t="shared" si="60"/>
        <v>751.398</v>
      </c>
      <c r="X95" s="79">
        <v>0</v>
      </c>
      <c r="Y95" s="79">
        <f t="shared" si="60"/>
        <v>151.786</v>
      </c>
      <c r="Z95" s="79">
        <f t="shared" si="60"/>
        <v>0</v>
      </c>
      <c r="AA95" s="79">
        <v>0</v>
      </c>
      <c r="AB95" s="79">
        <v>0</v>
      </c>
      <c r="AC95" s="79">
        <f t="shared" si="60"/>
        <v>0</v>
      </c>
      <c r="AD95" s="79">
        <f t="shared" si="60"/>
        <v>0</v>
      </c>
      <c r="AE95" s="79">
        <f t="shared" si="60"/>
        <v>0</v>
      </c>
      <c r="AF95" s="79">
        <v>0</v>
      </c>
      <c r="AG95" s="79">
        <f t="shared" si="60"/>
        <v>0</v>
      </c>
      <c r="AH95" s="79">
        <f t="shared" si="60"/>
        <v>0</v>
      </c>
      <c r="AI95" s="79">
        <v>0</v>
      </c>
      <c r="AJ95" s="79">
        <v>0</v>
      </c>
      <c r="AK95" s="79">
        <v>0</v>
      </c>
      <c r="AL95" s="150">
        <v>279</v>
      </c>
      <c r="AM95" s="74"/>
      <c r="AN95" s="91">
        <v>2866.639859</v>
      </c>
      <c r="AO95" s="74"/>
      <c r="AP95" s="74"/>
      <c r="AQ95" s="74"/>
      <c r="AR95" s="74"/>
    </row>
    <row r="96" spans="1:44" s="83" customFormat="1" ht="12.75">
      <c r="A96" s="70"/>
      <c r="B96" s="76"/>
      <c r="C96" s="90" t="s">
        <v>166</v>
      </c>
      <c r="D96" s="84">
        <f t="shared" si="5"/>
        <v>4.098756038647343</v>
      </c>
      <c r="E96" s="84">
        <f t="shared" si="6"/>
        <v>6.559693719806764</v>
      </c>
      <c r="F96" s="78">
        <v>74</v>
      </c>
      <c r="G96" s="78">
        <v>72</v>
      </c>
      <c r="H96" s="78"/>
      <c r="I96" s="79">
        <f aca="true" t="shared" si="61" ref="I96:I101">+SUM(J96:K96,V96)</f>
        <v>543.14264</v>
      </c>
      <c r="J96" s="80">
        <v>339.377</v>
      </c>
      <c r="K96" s="80">
        <f t="shared" si="57"/>
        <v>118.57864</v>
      </c>
      <c r="L96" s="80">
        <v>0</v>
      </c>
      <c r="M96" s="80">
        <v>26.565</v>
      </c>
      <c r="N96" s="80">
        <v>4.435</v>
      </c>
      <c r="O96" s="80">
        <v>0</v>
      </c>
      <c r="P96" s="80">
        <v>0</v>
      </c>
      <c r="Q96" s="80">
        <v>0</v>
      </c>
      <c r="R96" s="80">
        <v>85.18664</v>
      </c>
      <c r="S96" s="80">
        <v>0</v>
      </c>
      <c r="T96" s="80">
        <v>0</v>
      </c>
      <c r="U96" s="80">
        <v>2.392</v>
      </c>
      <c r="V96" s="80">
        <v>85.187</v>
      </c>
      <c r="W96" s="81">
        <f t="shared" si="58"/>
        <v>579.274</v>
      </c>
      <c r="X96" s="80">
        <v>357.083</v>
      </c>
      <c r="Y96" s="80">
        <f t="shared" si="59"/>
        <v>132.56</v>
      </c>
      <c r="Z96" s="80">
        <v>0</v>
      </c>
      <c r="AA96" s="80">
        <v>27.951</v>
      </c>
      <c r="AB96" s="80">
        <v>4.667</v>
      </c>
      <c r="AC96" s="80">
        <v>0</v>
      </c>
      <c r="AD96" s="80">
        <v>0</v>
      </c>
      <c r="AE96" s="80">
        <v>0</v>
      </c>
      <c r="AF96" s="80">
        <v>97.425</v>
      </c>
      <c r="AG96" s="80">
        <v>0</v>
      </c>
      <c r="AH96" s="80">
        <v>0</v>
      </c>
      <c r="AI96" s="80">
        <v>2.517</v>
      </c>
      <c r="AJ96" s="80">
        <v>89.631</v>
      </c>
      <c r="AK96" s="80">
        <f aca="true" t="shared" si="62" ref="AK96:AK101">+W96-I96</f>
        <v>36.13135999999997</v>
      </c>
      <c r="AL96" s="149">
        <f>+AK96*8</f>
        <v>289.0508799999998</v>
      </c>
      <c r="AM96" s="82"/>
      <c r="AN96" s="91">
        <v>0</v>
      </c>
      <c r="AO96" s="82"/>
      <c r="AP96" s="82"/>
      <c r="AQ96" s="82"/>
      <c r="AR96" s="82"/>
    </row>
    <row r="97" spans="1:44" s="83" customFormat="1" ht="25.5">
      <c r="A97" s="70"/>
      <c r="B97" s="76"/>
      <c r="C97" s="90" t="s">
        <v>165</v>
      </c>
      <c r="D97" s="84">
        <f t="shared" si="5"/>
        <v>2.526017391304348</v>
      </c>
      <c r="E97" s="84">
        <f t="shared" si="6"/>
        <v>5.664629913043479</v>
      </c>
      <c r="F97" s="78">
        <v>28</v>
      </c>
      <c r="G97" s="78">
        <v>25</v>
      </c>
      <c r="H97" s="78"/>
      <c r="I97" s="79">
        <f t="shared" si="61"/>
        <v>162.85811</v>
      </c>
      <c r="J97" s="80">
        <v>72.623</v>
      </c>
      <c r="K97" s="80">
        <f t="shared" si="57"/>
        <v>17.54211</v>
      </c>
      <c r="L97" s="80">
        <v>0</v>
      </c>
      <c r="M97" s="80">
        <v>0</v>
      </c>
      <c r="N97" s="80">
        <v>0.308</v>
      </c>
      <c r="O97" s="80">
        <v>0</v>
      </c>
      <c r="P97" s="80">
        <v>0</v>
      </c>
      <c r="Q97" s="80">
        <v>0</v>
      </c>
      <c r="R97" s="80">
        <v>16.77411</v>
      </c>
      <c r="S97" s="80">
        <v>0</v>
      </c>
      <c r="T97" s="80">
        <v>0</v>
      </c>
      <c r="U97" s="80">
        <v>0.46</v>
      </c>
      <c r="V97" s="80">
        <v>72.693</v>
      </c>
      <c r="W97" s="81">
        <f t="shared" si="58"/>
        <v>172.12400000000002</v>
      </c>
      <c r="X97" s="80">
        <v>76.412</v>
      </c>
      <c r="Y97" s="80">
        <f t="shared" si="59"/>
        <v>19.226</v>
      </c>
      <c r="Z97" s="80">
        <v>0</v>
      </c>
      <c r="AA97" s="80">
        <v>0</v>
      </c>
      <c r="AB97" s="80">
        <v>0.325</v>
      </c>
      <c r="AC97" s="80">
        <v>0</v>
      </c>
      <c r="AD97" s="80">
        <v>0</v>
      </c>
      <c r="AE97" s="80">
        <v>0</v>
      </c>
      <c r="AF97" s="80">
        <v>18.417</v>
      </c>
      <c r="AG97" s="80">
        <v>0</v>
      </c>
      <c r="AH97" s="80">
        <v>0</v>
      </c>
      <c r="AI97" s="80">
        <v>0.484</v>
      </c>
      <c r="AJ97" s="80">
        <v>76.486</v>
      </c>
      <c r="AK97" s="80">
        <f t="shared" si="62"/>
        <v>9.265890000000013</v>
      </c>
      <c r="AL97" s="149">
        <f>+AK97*8</f>
        <v>74.1271200000001</v>
      </c>
      <c r="AM97" s="82"/>
      <c r="AN97" s="91">
        <v>0</v>
      </c>
      <c r="AO97" s="82"/>
      <c r="AP97" s="82"/>
      <c r="AQ97" s="82"/>
      <c r="AR97" s="82"/>
    </row>
    <row r="98" spans="2:44" s="109" customFormat="1" ht="12.75">
      <c r="B98" s="100"/>
      <c r="C98" s="101" t="s">
        <v>121</v>
      </c>
      <c r="D98" s="102">
        <f t="shared" si="5"/>
        <v>4.4500658761528324</v>
      </c>
      <c r="E98" s="102">
        <f t="shared" si="6"/>
        <v>7.182213438735179</v>
      </c>
      <c r="F98" s="103">
        <v>74</v>
      </c>
      <c r="G98" s="103">
        <v>66</v>
      </c>
      <c r="H98" s="106">
        <f aca="true" t="shared" si="63" ref="H98:H169">+I98*12</f>
        <v>6541.5599999999995</v>
      </c>
      <c r="I98" s="105">
        <f t="shared" si="61"/>
        <v>545.13</v>
      </c>
      <c r="J98" s="105">
        <v>337.76</v>
      </c>
      <c r="K98" s="105">
        <f t="shared" si="57"/>
        <v>120.33</v>
      </c>
      <c r="L98" s="105">
        <v>0</v>
      </c>
      <c r="M98" s="105">
        <v>11.74</v>
      </c>
      <c r="N98" s="105">
        <v>12.19</v>
      </c>
      <c r="O98" s="105">
        <v>3</v>
      </c>
      <c r="P98" s="105">
        <v>0</v>
      </c>
      <c r="Q98" s="105">
        <v>0</v>
      </c>
      <c r="R98" s="105">
        <v>88.11</v>
      </c>
      <c r="S98" s="105">
        <v>4.29</v>
      </c>
      <c r="T98" s="105">
        <v>1</v>
      </c>
      <c r="U98" s="105">
        <v>0</v>
      </c>
      <c r="V98" s="105">
        <v>87.04</v>
      </c>
      <c r="W98" s="106">
        <f t="shared" si="58"/>
        <v>585.68</v>
      </c>
      <c r="X98" s="105">
        <v>362.88</v>
      </c>
      <c r="Y98" s="105">
        <f t="shared" si="59"/>
        <v>129.28</v>
      </c>
      <c r="Z98" s="105">
        <v>0</v>
      </c>
      <c r="AA98" s="105">
        <v>12.61</v>
      </c>
      <c r="AB98" s="105">
        <v>13.1</v>
      </c>
      <c r="AC98" s="105">
        <v>3.22</v>
      </c>
      <c r="AD98" s="105">
        <v>0</v>
      </c>
      <c r="AE98" s="105">
        <v>0</v>
      </c>
      <c r="AF98" s="105">
        <v>94.67</v>
      </c>
      <c r="AG98" s="105">
        <v>4.61</v>
      </c>
      <c r="AH98" s="105">
        <v>1.07</v>
      </c>
      <c r="AI98" s="105">
        <v>0</v>
      </c>
      <c r="AJ98" s="105">
        <v>93.52</v>
      </c>
      <c r="AK98" s="105">
        <f t="shared" si="62"/>
        <v>40.549999999999955</v>
      </c>
      <c r="AL98" s="153">
        <f>+AK98*6</f>
        <v>243.29999999999973</v>
      </c>
      <c r="AM98" s="107"/>
      <c r="AN98" s="108">
        <v>1738.025033</v>
      </c>
      <c r="AO98" s="107"/>
      <c r="AP98" s="107"/>
      <c r="AQ98" s="107"/>
      <c r="AR98" s="107"/>
    </row>
    <row r="99" spans="1:44" s="109" customFormat="1" ht="12.75">
      <c r="A99" s="99"/>
      <c r="B99" s="100" t="s">
        <v>158</v>
      </c>
      <c r="C99" s="101" t="s">
        <v>122</v>
      </c>
      <c r="D99" s="102">
        <f t="shared" si="5"/>
        <v>3.567989918084436</v>
      </c>
      <c r="E99" s="102">
        <f t="shared" si="6"/>
        <v>5.737996219281664</v>
      </c>
      <c r="F99" s="103">
        <v>74</v>
      </c>
      <c r="G99" s="103">
        <v>69</v>
      </c>
      <c r="H99" s="104">
        <f t="shared" si="63"/>
        <v>5463.72</v>
      </c>
      <c r="I99" s="105">
        <f t="shared" si="61"/>
        <v>455.31</v>
      </c>
      <c r="J99" s="105">
        <v>283.12</v>
      </c>
      <c r="K99" s="105">
        <f t="shared" si="57"/>
        <v>100.86999999999998</v>
      </c>
      <c r="L99" s="105">
        <v>0</v>
      </c>
      <c r="M99" s="105">
        <v>13.43</v>
      </c>
      <c r="N99" s="105">
        <v>0.6</v>
      </c>
      <c r="O99" s="105">
        <v>6.85</v>
      </c>
      <c r="P99" s="105">
        <v>0</v>
      </c>
      <c r="Q99" s="105">
        <v>0</v>
      </c>
      <c r="R99" s="105">
        <v>73.58</v>
      </c>
      <c r="S99" s="105">
        <v>1.82</v>
      </c>
      <c r="T99" s="105">
        <v>0.57</v>
      </c>
      <c r="U99" s="105">
        <f>0.36+1.12+1.6+0.94</f>
        <v>4.02</v>
      </c>
      <c r="V99" s="105">
        <v>71.32</v>
      </c>
      <c r="W99" s="106">
        <f t="shared" si="58"/>
        <v>488.37</v>
      </c>
      <c r="X99" s="105">
        <v>304.19</v>
      </c>
      <c r="Y99" s="105">
        <f t="shared" si="59"/>
        <v>107.58</v>
      </c>
      <c r="Z99" s="105">
        <v>0</v>
      </c>
      <c r="AA99" s="105">
        <v>14.43</v>
      </c>
      <c r="AB99" s="105">
        <v>0.65</v>
      </c>
      <c r="AC99" s="105">
        <v>6.34</v>
      </c>
      <c r="AD99" s="105">
        <v>0</v>
      </c>
      <c r="AE99" s="105">
        <v>0</v>
      </c>
      <c r="AF99" s="105">
        <v>79</v>
      </c>
      <c r="AG99" s="105">
        <v>1.95</v>
      </c>
      <c r="AH99" s="105">
        <v>0.61</v>
      </c>
      <c r="AI99" s="105">
        <f>0.4+1.2+1.6+1.4</f>
        <v>4.6</v>
      </c>
      <c r="AJ99" s="105">
        <v>76.6</v>
      </c>
      <c r="AK99" s="105">
        <f t="shared" si="62"/>
        <v>33.06</v>
      </c>
      <c r="AL99" s="153">
        <f>+AK99*6</f>
        <v>198.36</v>
      </c>
      <c r="AM99" s="107"/>
      <c r="AN99" s="108">
        <v>1491.539146</v>
      </c>
      <c r="AO99" s="107"/>
      <c r="AP99" s="107"/>
      <c r="AQ99" s="107"/>
      <c r="AR99" s="107"/>
    </row>
    <row r="100" spans="2:44" s="109" customFormat="1" ht="12.75">
      <c r="B100" s="100"/>
      <c r="C100" s="129" t="s">
        <v>123</v>
      </c>
      <c r="D100" s="102">
        <f t="shared" si="5"/>
        <v>3.7242165709598036</v>
      </c>
      <c r="E100" s="102">
        <f t="shared" si="6"/>
        <v>5.998096800656277</v>
      </c>
      <c r="F100" s="103">
        <v>64</v>
      </c>
      <c r="G100" s="103">
        <v>53</v>
      </c>
      <c r="H100" s="106">
        <f t="shared" si="63"/>
        <v>4387.008000000001</v>
      </c>
      <c r="I100" s="105">
        <f t="shared" si="61"/>
        <v>365.58400000000006</v>
      </c>
      <c r="J100" s="105">
        <v>226.991</v>
      </c>
      <c r="K100" s="105">
        <f t="shared" si="57"/>
        <v>82.19500000000001</v>
      </c>
      <c r="L100" s="105">
        <v>0</v>
      </c>
      <c r="M100" s="105">
        <v>12.1</v>
      </c>
      <c r="N100" s="105">
        <v>4.418</v>
      </c>
      <c r="O100" s="105">
        <v>0</v>
      </c>
      <c r="P100" s="105">
        <v>0</v>
      </c>
      <c r="Q100" s="105">
        <v>0</v>
      </c>
      <c r="R100" s="105">
        <v>60.877</v>
      </c>
      <c r="S100" s="105">
        <v>2.178</v>
      </c>
      <c r="T100" s="105">
        <v>1.702</v>
      </c>
      <c r="U100" s="105">
        <v>0.92</v>
      </c>
      <c r="V100" s="105">
        <v>56.398</v>
      </c>
      <c r="W100" s="106">
        <f t="shared" si="58"/>
        <v>392.788</v>
      </c>
      <c r="X100" s="105">
        <v>243.875</v>
      </c>
      <c r="Y100" s="105">
        <f t="shared" si="59"/>
        <v>88.318</v>
      </c>
      <c r="Z100" s="105">
        <v>0</v>
      </c>
      <c r="AA100" s="105">
        <v>13</v>
      </c>
      <c r="AB100" s="105">
        <v>4.754</v>
      </c>
      <c r="AC100" s="105">
        <v>0</v>
      </c>
      <c r="AD100" s="105">
        <v>0</v>
      </c>
      <c r="AE100" s="105">
        <v>0</v>
      </c>
      <c r="AF100" s="105">
        <v>65.407</v>
      </c>
      <c r="AG100" s="105">
        <v>2.34</v>
      </c>
      <c r="AH100" s="105">
        <v>1.829</v>
      </c>
      <c r="AI100" s="105">
        <v>0.988</v>
      </c>
      <c r="AJ100" s="105">
        <v>60.595</v>
      </c>
      <c r="AK100" s="105">
        <f t="shared" si="62"/>
        <v>27.20399999999995</v>
      </c>
      <c r="AL100" s="153">
        <f>+AK100*6</f>
        <v>163.2239999999997</v>
      </c>
      <c r="AM100" s="107"/>
      <c r="AN100" s="108">
        <v>1052.04</v>
      </c>
      <c r="AO100" s="107"/>
      <c r="AP100" s="107"/>
      <c r="AQ100" s="107"/>
      <c r="AR100" s="107"/>
    </row>
    <row r="101" spans="2:44" s="109" customFormat="1" ht="12.75">
      <c r="B101" s="100" t="s">
        <v>158</v>
      </c>
      <c r="C101" s="101" t="s">
        <v>124</v>
      </c>
      <c r="D101" s="102">
        <f aca="true" t="shared" si="64" ref="D101:D169">J101/G101/1.15</f>
        <v>3.6359881422924905</v>
      </c>
      <c r="E101" s="102">
        <f aca="true" t="shared" si="65" ref="E101:E169">I101/G101/1.15</f>
        <v>7.361185770750988</v>
      </c>
      <c r="F101" s="103">
        <v>44</v>
      </c>
      <c r="G101" s="103">
        <v>44</v>
      </c>
      <c r="H101" s="106">
        <f t="shared" si="63"/>
        <v>4469.7119999999995</v>
      </c>
      <c r="I101" s="105">
        <f t="shared" si="61"/>
        <v>372.476</v>
      </c>
      <c r="J101" s="105">
        <v>183.981</v>
      </c>
      <c r="K101" s="105">
        <f t="shared" si="57"/>
        <v>116.98500000000001</v>
      </c>
      <c r="L101" s="105">
        <v>0</v>
      </c>
      <c r="M101" s="105">
        <v>9.801</v>
      </c>
      <c r="N101" s="105">
        <v>1.219</v>
      </c>
      <c r="O101" s="105">
        <v>39.773</v>
      </c>
      <c r="P101" s="105">
        <v>1.815</v>
      </c>
      <c r="Q101" s="105">
        <v>0</v>
      </c>
      <c r="R101" s="105">
        <v>48.75</v>
      </c>
      <c r="S101" s="105">
        <v>1.815</v>
      </c>
      <c r="T101" s="105">
        <v>12.275</v>
      </c>
      <c r="U101" s="105">
        <v>1.537</v>
      </c>
      <c r="V101" s="105">
        <v>71.51</v>
      </c>
      <c r="W101" s="106">
        <f t="shared" si="58"/>
        <v>403.363</v>
      </c>
      <c r="X101" s="105">
        <v>199.433</v>
      </c>
      <c r="Y101" s="105">
        <f t="shared" si="59"/>
        <v>126.391</v>
      </c>
      <c r="Z101" s="105">
        <v>0</v>
      </c>
      <c r="AA101" s="105">
        <v>10.53</v>
      </c>
      <c r="AB101" s="105">
        <v>1.31</v>
      </c>
      <c r="AC101" s="105">
        <v>42.703</v>
      </c>
      <c r="AD101" s="105">
        <v>1.95</v>
      </c>
      <c r="AE101" s="105">
        <v>0</v>
      </c>
      <c r="AF101" s="105">
        <v>52.818</v>
      </c>
      <c r="AG101" s="105">
        <v>1.95</v>
      </c>
      <c r="AH101" s="105">
        <v>13.479</v>
      </c>
      <c r="AI101" s="105">
        <v>1.651</v>
      </c>
      <c r="AJ101" s="105">
        <v>77.539</v>
      </c>
      <c r="AK101" s="105">
        <f t="shared" si="62"/>
        <v>30.887</v>
      </c>
      <c r="AL101" s="153">
        <f>+AK101*6</f>
        <v>185.322</v>
      </c>
      <c r="AM101" s="107"/>
      <c r="AN101" s="108">
        <v>1205.855025</v>
      </c>
      <c r="AO101" s="107"/>
      <c r="AP101" s="107"/>
      <c r="AQ101" s="107"/>
      <c r="AR101" s="107"/>
    </row>
    <row r="102" spans="1:44" s="109" customFormat="1" ht="12.75">
      <c r="A102" s="99"/>
      <c r="B102" s="100"/>
      <c r="C102" s="101" t="s">
        <v>175</v>
      </c>
      <c r="D102" s="102">
        <f t="shared" si="64"/>
        <v>3.9411922904527117</v>
      </c>
      <c r="E102" s="102">
        <f t="shared" si="65"/>
        <v>6.802191842223219</v>
      </c>
      <c r="F102" s="103">
        <f>+SUM(F103:F104)</f>
        <v>205</v>
      </c>
      <c r="G102" s="103">
        <f aca="true" t="shared" si="66" ref="G102:AK102">+SUM(G103:G104)</f>
        <v>194</v>
      </c>
      <c r="H102" s="104">
        <f t="shared" si="63"/>
        <v>18210.828</v>
      </c>
      <c r="I102" s="105">
        <f t="shared" si="66"/>
        <v>1517.569</v>
      </c>
      <c r="J102" s="105">
        <f t="shared" si="66"/>
        <v>879.28</v>
      </c>
      <c r="K102" s="105">
        <f t="shared" si="66"/>
        <v>427.40000000000003</v>
      </c>
      <c r="L102" s="105">
        <f t="shared" si="66"/>
        <v>0</v>
      </c>
      <c r="M102" s="105">
        <f t="shared" si="66"/>
        <v>28.549999999999997</v>
      </c>
      <c r="N102" s="105">
        <f t="shared" si="66"/>
        <v>9.649999999999999</v>
      </c>
      <c r="O102" s="105">
        <f t="shared" si="66"/>
        <v>149.61</v>
      </c>
      <c r="P102" s="105">
        <f t="shared" si="66"/>
        <v>0</v>
      </c>
      <c r="Q102" s="105">
        <f t="shared" si="66"/>
        <v>0</v>
      </c>
      <c r="R102" s="105">
        <f t="shared" si="66"/>
        <v>228.68</v>
      </c>
      <c r="S102" s="105">
        <f t="shared" si="66"/>
        <v>2.5</v>
      </c>
      <c r="T102" s="105">
        <f t="shared" si="66"/>
        <v>0.75</v>
      </c>
      <c r="U102" s="105">
        <f t="shared" si="66"/>
        <v>7.66</v>
      </c>
      <c r="V102" s="105">
        <f t="shared" si="66"/>
        <v>210.889</v>
      </c>
      <c r="W102" s="106">
        <f t="shared" si="66"/>
        <v>1637.1940000000002</v>
      </c>
      <c r="X102" s="105">
        <f t="shared" si="66"/>
        <v>944.6800000000001</v>
      </c>
      <c r="Y102" s="105">
        <f t="shared" si="66"/>
        <v>459.22</v>
      </c>
      <c r="Z102" s="105">
        <f t="shared" si="66"/>
        <v>0</v>
      </c>
      <c r="AA102" s="105">
        <f t="shared" si="66"/>
        <v>30.68</v>
      </c>
      <c r="AB102" s="105">
        <f t="shared" si="66"/>
        <v>10.37</v>
      </c>
      <c r="AC102" s="105">
        <f t="shared" si="66"/>
        <v>160.74</v>
      </c>
      <c r="AD102" s="105">
        <f t="shared" si="66"/>
        <v>0</v>
      </c>
      <c r="AE102" s="105">
        <f t="shared" si="66"/>
        <v>0</v>
      </c>
      <c r="AF102" s="105">
        <f t="shared" si="66"/>
        <v>245.7</v>
      </c>
      <c r="AG102" s="105">
        <f t="shared" si="66"/>
        <v>2.7</v>
      </c>
      <c r="AH102" s="105">
        <f t="shared" si="66"/>
        <v>0.8</v>
      </c>
      <c r="AI102" s="105">
        <f t="shared" si="66"/>
        <v>8.23</v>
      </c>
      <c r="AJ102" s="105">
        <f t="shared" si="66"/>
        <v>233.29399999999998</v>
      </c>
      <c r="AK102" s="105">
        <f t="shared" si="66"/>
        <v>119.62500000000011</v>
      </c>
      <c r="AL102" s="153">
        <f>+SUM(AL103:AL104)</f>
        <v>717.7500000000007</v>
      </c>
      <c r="AM102" s="107"/>
      <c r="AN102" s="108">
        <f>+AN103+AN104</f>
        <v>1296.3695</v>
      </c>
      <c r="AO102" s="107"/>
      <c r="AP102" s="107"/>
      <c r="AQ102" s="107"/>
      <c r="AR102" s="107"/>
    </row>
    <row r="103" spans="1:44" s="143" customFormat="1" ht="12.75">
      <c r="A103" s="99"/>
      <c r="B103" s="110"/>
      <c r="C103" s="170" t="s">
        <v>223</v>
      </c>
      <c r="D103" s="102">
        <f t="shared" si="64"/>
        <v>3.534299516908213</v>
      </c>
      <c r="E103" s="102">
        <f t="shared" si="65"/>
        <v>5.71856452726018</v>
      </c>
      <c r="F103" s="112">
        <v>66</v>
      </c>
      <c r="G103" s="112">
        <v>63</v>
      </c>
      <c r="H103" s="104">
        <f t="shared" si="63"/>
        <v>4971.72</v>
      </c>
      <c r="I103" s="105">
        <f>+SUM(J103:K103,V103)</f>
        <v>414.31</v>
      </c>
      <c r="J103" s="113">
        <v>256.06</v>
      </c>
      <c r="K103" s="113">
        <f aca="true" t="shared" si="67" ref="K103:K169">+SUM(L103:U103)</f>
        <v>93.05999999999999</v>
      </c>
      <c r="L103" s="113">
        <v>0</v>
      </c>
      <c r="M103" s="113">
        <v>12.95</v>
      </c>
      <c r="N103" s="113">
        <v>1.88</v>
      </c>
      <c r="O103" s="113">
        <v>0</v>
      </c>
      <c r="P103" s="113">
        <v>0</v>
      </c>
      <c r="Q103" s="113">
        <v>0</v>
      </c>
      <c r="R103" s="113">
        <v>69.82</v>
      </c>
      <c r="S103" s="113">
        <v>0</v>
      </c>
      <c r="T103" s="113">
        <v>0.75</v>
      </c>
      <c r="U103" s="113">
        <v>7.66</v>
      </c>
      <c r="V103" s="113">
        <v>65.19</v>
      </c>
      <c r="W103" s="106">
        <f t="shared" si="58"/>
        <v>445.12000000000006</v>
      </c>
      <c r="X103" s="113">
        <v>275.1</v>
      </c>
      <c r="Y103" s="113">
        <f t="shared" si="59"/>
        <v>99.97999999999999</v>
      </c>
      <c r="Z103" s="113">
        <v>0</v>
      </c>
      <c r="AA103" s="113">
        <v>13.91</v>
      </c>
      <c r="AB103" s="113">
        <v>2.02</v>
      </c>
      <c r="AC103" s="113">
        <v>0</v>
      </c>
      <c r="AD103" s="113">
        <v>0</v>
      </c>
      <c r="AE103" s="113">
        <v>0</v>
      </c>
      <c r="AF103" s="113">
        <v>75.02</v>
      </c>
      <c r="AG103" s="113">
        <v>0</v>
      </c>
      <c r="AH103" s="113">
        <v>0.8</v>
      </c>
      <c r="AI103" s="113">
        <v>8.23</v>
      </c>
      <c r="AJ103" s="113">
        <v>70.04</v>
      </c>
      <c r="AK103" s="113">
        <f>+W103-I103</f>
        <v>30.81000000000006</v>
      </c>
      <c r="AL103" s="151">
        <f>+AK103*6</f>
        <v>184.86000000000035</v>
      </c>
      <c r="AM103" s="142"/>
      <c r="AN103" s="108">
        <v>643.224</v>
      </c>
      <c r="AO103" s="142"/>
      <c r="AP103" s="142"/>
      <c r="AQ103" s="142"/>
      <c r="AR103" s="142"/>
    </row>
    <row r="104" spans="1:44" s="143" customFormat="1" ht="12.75">
      <c r="A104" s="99"/>
      <c r="B104" s="110"/>
      <c r="C104" s="170" t="s">
        <v>224</v>
      </c>
      <c r="D104" s="102">
        <f t="shared" si="64"/>
        <v>4.136873547958845</v>
      </c>
      <c r="E104" s="102">
        <f t="shared" si="65"/>
        <v>7.32332558911384</v>
      </c>
      <c r="F104" s="112">
        <v>139</v>
      </c>
      <c r="G104" s="112">
        <v>131</v>
      </c>
      <c r="H104" s="104">
        <f t="shared" si="63"/>
        <v>13239.108</v>
      </c>
      <c r="I104" s="105">
        <f>+SUM(J104:K104,V104)</f>
        <v>1103.259</v>
      </c>
      <c r="J104" s="113">
        <v>623.22</v>
      </c>
      <c r="K104" s="113">
        <f t="shared" si="67"/>
        <v>334.34000000000003</v>
      </c>
      <c r="L104" s="113">
        <v>0</v>
      </c>
      <c r="M104" s="113">
        <v>15.6</v>
      </c>
      <c r="N104" s="113">
        <v>7.77</v>
      </c>
      <c r="O104" s="113">
        <v>149.61</v>
      </c>
      <c r="P104" s="113">
        <v>0</v>
      </c>
      <c r="Q104" s="113">
        <v>0</v>
      </c>
      <c r="R104" s="113">
        <v>158.86</v>
      </c>
      <c r="S104" s="113">
        <v>2.5</v>
      </c>
      <c r="T104" s="113">
        <v>0</v>
      </c>
      <c r="U104" s="113">
        <v>0</v>
      </c>
      <c r="V104" s="113">
        <v>145.699</v>
      </c>
      <c r="W104" s="106">
        <f t="shared" si="58"/>
        <v>1192.074</v>
      </c>
      <c r="X104" s="113">
        <v>669.58</v>
      </c>
      <c r="Y104" s="113">
        <f t="shared" si="59"/>
        <v>359.24</v>
      </c>
      <c r="Z104" s="113">
        <v>0</v>
      </c>
      <c r="AA104" s="113">
        <v>16.77</v>
      </c>
      <c r="AB104" s="113">
        <v>8.35</v>
      </c>
      <c r="AC104" s="113">
        <v>160.74</v>
      </c>
      <c r="AD104" s="113">
        <v>0</v>
      </c>
      <c r="AE104" s="113">
        <v>0</v>
      </c>
      <c r="AF104" s="113">
        <v>170.68</v>
      </c>
      <c r="AG104" s="113">
        <v>2.7</v>
      </c>
      <c r="AH104" s="113">
        <v>0</v>
      </c>
      <c r="AI104" s="113">
        <v>0</v>
      </c>
      <c r="AJ104" s="113">
        <v>163.254</v>
      </c>
      <c r="AK104" s="113">
        <f>+W104-I104</f>
        <v>88.81500000000005</v>
      </c>
      <c r="AL104" s="151">
        <f>+AK104*6</f>
        <v>532.8900000000003</v>
      </c>
      <c r="AM104" s="142"/>
      <c r="AN104" s="108">
        <v>653.1455</v>
      </c>
      <c r="AO104" s="142"/>
      <c r="AP104" s="142"/>
      <c r="AQ104" s="142"/>
      <c r="AR104" s="142"/>
    </row>
    <row r="105" spans="1:44" s="109" customFormat="1" ht="12.75">
      <c r="A105" s="99"/>
      <c r="B105" s="100" t="s">
        <v>158</v>
      </c>
      <c r="C105" s="101" t="s">
        <v>126</v>
      </c>
      <c r="D105" s="102">
        <f t="shared" si="64"/>
        <v>3.781739130434783</v>
      </c>
      <c r="E105" s="102">
        <f t="shared" si="65"/>
        <v>5.952852784134249</v>
      </c>
      <c r="F105" s="168">
        <f aca="true" t="shared" si="68" ref="F105:V105">+SUM(F106:F108)</f>
        <v>120</v>
      </c>
      <c r="G105" s="168">
        <f t="shared" si="68"/>
        <v>114</v>
      </c>
      <c r="H105" s="104">
        <f t="shared" si="63"/>
        <v>9365.028</v>
      </c>
      <c r="I105" s="105">
        <f t="shared" si="68"/>
        <v>780.419</v>
      </c>
      <c r="J105" s="105">
        <f t="shared" si="68"/>
        <v>495.78600000000006</v>
      </c>
      <c r="K105" s="105">
        <f t="shared" si="68"/>
        <v>167.272</v>
      </c>
      <c r="L105" s="105">
        <f t="shared" si="68"/>
        <v>0</v>
      </c>
      <c r="M105" s="105">
        <f t="shared" si="68"/>
        <v>12.463</v>
      </c>
      <c r="N105" s="105">
        <f t="shared" si="68"/>
        <v>3.243</v>
      </c>
      <c r="O105" s="105">
        <f t="shared" si="68"/>
        <v>0</v>
      </c>
      <c r="P105" s="105">
        <f t="shared" si="68"/>
        <v>0</v>
      </c>
      <c r="Q105" s="105">
        <f t="shared" si="68"/>
        <v>0</v>
      </c>
      <c r="R105" s="105">
        <f t="shared" si="68"/>
        <v>128.196</v>
      </c>
      <c r="S105" s="105">
        <f t="shared" si="68"/>
        <v>0</v>
      </c>
      <c r="T105" s="105">
        <f t="shared" si="68"/>
        <v>1.538</v>
      </c>
      <c r="U105" s="105">
        <f t="shared" si="68"/>
        <v>21.832</v>
      </c>
      <c r="V105" s="105">
        <f t="shared" si="68"/>
        <v>117.361</v>
      </c>
      <c r="W105" s="105">
        <f>+SUM(W106:W108)</f>
        <v>837.943</v>
      </c>
      <c r="X105" s="105">
        <f aca="true" t="shared" si="69" ref="X105:AK105">+SUM(X106:X108)</f>
        <v>532.662</v>
      </c>
      <c r="Y105" s="105">
        <f t="shared" si="69"/>
        <v>179.17200000000003</v>
      </c>
      <c r="Z105" s="105">
        <f t="shared" si="69"/>
        <v>0</v>
      </c>
      <c r="AA105" s="105">
        <f t="shared" si="69"/>
        <v>13.39</v>
      </c>
      <c r="AB105" s="105">
        <f t="shared" si="69"/>
        <v>3.4850000000000003</v>
      </c>
      <c r="AC105" s="105">
        <f t="shared" si="69"/>
        <v>0</v>
      </c>
      <c r="AD105" s="105">
        <f t="shared" si="69"/>
        <v>0</v>
      </c>
      <c r="AE105" s="105">
        <f t="shared" si="69"/>
        <v>0</v>
      </c>
      <c r="AF105" s="105">
        <f t="shared" si="69"/>
        <v>137.189</v>
      </c>
      <c r="AG105" s="105">
        <f t="shared" si="69"/>
        <v>0</v>
      </c>
      <c r="AH105" s="105">
        <f t="shared" si="69"/>
        <v>1.652</v>
      </c>
      <c r="AI105" s="105">
        <f t="shared" si="69"/>
        <v>23.456000000000003</v>
      </c>
      <c r="AJ105" s="105">
        <f t="shared" si="69"/>
        <v>126.109</v>
      </c>
      <c r="AK105" s="105">
        <f t="shared" si="69"/>
        <v>57.523999999999944</v>
      </c>
      <c r="AL105" s="153">
        <f>+SUM(AL106:AL108)</f>
        <v>345.14399999999966</v>
      </c>
      <c r="AM105" s="107"/>
      <c r="AN105" s="169">
        <f>+AN106+AN107+AN108</f>
        <v>1498.26</v>
      </c>
      <c r="AO105" s="107"/>
      <c r="AP105" s="107"/>
      <c r="AQ105" s="107"/>
      <c r="AR105" s="107"/>
    </row>
    <row r="106" spans="1:44" s="115" customFormat="1" ht="12.75">
      <c r="A106" s="99" t="s">
        <v>240</v>
      </c>
      <c r="B106" s="110"/>
      <c r="C106" s="170" t="s">
        <v>211</v>
      </c>
      <c r="D106" s="102">
        <f t="shared" si="64"/>
        <v>4.038260869565218</v>
      </c>
      <c r="E106" s="102">
        <f t="shared" si="65"/>
        <v>6.013260869565217</v>
      </c>
      <c r="F106" s="112">
        <v>21</v>
      </c>
      <c r="G106" s="112">
        <v>20</v>
      </c>
      <c r="H106" s="104">
        <f t="shared" si="63"/>
        <v>1659.6599999999999</v>
      </c>
      <c r="I106" s="105">
        <f aca="true" t="shared" si="70" ref="I106:I114">+SUM(J106:K106,V106)</f>
        <v>138.30499999999998</v>
      </c>
      <c r="J106" s="113">
        <v>92.88</v>
      </c>
      <c r="K106" s="113">
        <f>+SUM(L106:U106)</f>
        <v>24.365</v>
      </c>
      <c r="L106" s="113">
        <v>0</v>
      </c>
      <c r="M106" s="113">
        <v>0</v>
      </c>
      <c r="N106" s="113">
        <v>0.723</v>
      </c>
      <c r="O106" s="113">
        <v>0</v>
      </c>
      <c r="P106" s="113">
        <v>0</v>
      </c>
      <c r="Q106" s="113">
        <v>0</v>
      </c>
      <c r="R106" s="113">
        <v>23.4</v>
      </c>
      <c r="S106" s="113">
        <v>0</v>
      </c>
      <c r="T106" s="113">
        <v>0</v>
      </c>
      <c r="U106" s="113">
        <v>0.242</v>
      </c>
      <c r="V106" s="113">
        <v>21.06</v>
      </c>
      <c r="W106" s="106">
        <f>+SUM(X106:Y106,AJ106)</f>
        <v>148.593</v>
      </c>
      <c r="X106" s="171">
        <v>99.788</v>
      </c>
      <c r="Y106" s="113">
        <f>+SUM(Z106:AI106)</f>
        <v>26.178</v>
      </c>
      <c r="Z106" s="171">
        <v>0</v>
      </c>
      <c r="AA106" s="171">
        <v>0</v>
      </c>
      <c r="AB106" s="171">
        <v>0.777</v>
      </c>
      <c r="AC106" s="171">
        <v>0</v>
      </c>
      <c r="AD106" s="171">
        <v>0</v>
      </c>
      <c r="AE106" s="171">
        <v>0</v>
      </c>
      <c r="AF106" s="171">
        <v>25.141</v>
      </c>
      <c r="AG106" s="171">
        <v>0</v>
      </c>
      <c r="AH106" s="171">
        <v>0</v>
      </c>
      <c r="AI106" s="171">
        <v>0.26</v>
      </c>
      <c r="AJ106" s="171">
        <v>22.627</v>
      </c>
      <c r="AK106" s="113">
        <f aca="true" t="shared" si="71" ref="AK106:AK114">+W106-I106</f>
        <v>10.288000000000011</v>
      </c>
      <c r="AL106" s="151">
        <f>+AK106*6</f>
        <v>61.728000000000065</v>
      </c>
      <c r="AM106" s="114"/>
      <c r="AN106" s="108">
        <v>248.76</v>
      </c>
      <c r="AO106" s="114"/>
      <c r="AP106" s="114"/>
      <c r="AQ106" s="114"/>
      <c r="AR106" s="114"/>
    </row>
    <row r="107" spans="1:44" s="115" customFormat="1" ht="25.5">
      <c r="A107" s="99" t="s">
        <v>240</v>
      </c>
      <c r="B107" s="110"/>
      <c r="C107" s="170" t="s">
        <v>225</v>
      </c>
      <c r="D107" s="102">
        <f t="shared" si="64"/>
        <v>3.7785421994884913</v>
      </c>
      <c r="E107" s="102">
        <f t="shared" si="65"/>
        <v>6.110421994884911</v>
      </c>
      <c r="F107" s="112">
        <v>74</v>
      </c>
      <c r="G107" s="112">
        <v>68</v>
      </c>
      <c r="H107" s="104">
        <f t="shared" si="63"/>
        <v>5734.02</v>
      </c>
      <c r="I107" s="105">
        <f t="shared" si="70"/>
        <v>477.83500000000004</v>
      </c>
      <c r="J107" s="113">
        <v>295.482</v>
      </c>
      <c r="K107" s="113">
        <f>+SUM(L107:U107)</f>
        <v>110.676</v>
      </c>
      <c r="L107" s="113">
        <v>0</v>
      </c>
      <c r="M107" s="113">
        <v>12.1</v>
      </c>
      <c r="N107" s="113">
        <v>2.52</v>
      </c>
      <c r="O107" s="113">
        <v>0</v>
      </c>
      <c r="P107" s="113">
        <v>0</v>
      </c>
      <c r="Q107" s="113">
        <v>0</v>
      </c>
      <c r="R107" s="113">
        <v>77.526</v>
      </c>
      <c r="S107" s="113">
        <v>0</v>
      </c>
      <c r="T107" s="113">
        <v>1.538</v>
      </c>
      <c r="U107" s="113">
        <v>16.992</v>
      </c>
      <c r="V107" s="113">
        <v>71.677</v>
      </c>
      <c r="W107" s="106">
        <f>+SUM(X107:Y107,AJ107)</f>
        <v>513.377</v>
      </c>
      <c r="X107" s="171">
        <v>317.46</v>
      </c>
      <c r="Y107" s="113">
        <f>+SUM(Z107:AI107)</f>
        <v>118.908</v>
      </c>
      <c r="Z107" s="171">
        <v>0</v>
      </c>
      <c r="AA107" s="171">
        <v>13</v>
      </c>
      <c r="AB107" s="171">
        <v>2.708</v>
      </c>
      <c r="AC107" s="171">
        <v>0</v>
      </c>
      <c r="AD107" s="171">
        <v>0</v>
      </c>
      <c r="AE107" s="171">
        <v>0</v>
      </c>
      <c r="AF107" s="171">
        <v>83.292</v>
      </c>
      <c r="AG107" s="171">
        <v>0</v>
      </c>
      <c r="AH107" s="171">
        <v>1.652</v>
      </c>
      <c r="AI107" s="171">
        <v>18.256</v>
      </c>
      <c r="AJ107" s="171">
        <v>77.009</v>
      </c>
      <c r="AK107" s="113">
        <f t="shared" si="71"/>
        <v>35.541999999999916</v>
      </c>
      <c r="AL107" s="151">
        <f>+AK107*6</f>
        <v>213.2519999999995</v>
      </c>
      <c r="AM107" s="114"/>
      <c r="AN107" s="108">
        <v>807.5</v>
      </c>
      <c r="AO107" s="114"/>
      <c r="AP107" s="114"/>
      <c r="AQ107" s="114"/>
      <c r="AR107" s="114"/>
    </row>
    <row r="108" spans="1:44" s="115" customFormat="1" ht="12.75">
      <c r="A108" s="99" t="s">
        <v>240</v>
      </c>
      <c r="B108" s="110"/>
      <c r="C108" s="170" t="s">
        <v>214</v>
      </c>
      <c r="D108" s="102">
        <f t="shared" si="64"/>
        <v>3.5927759197324423</v>
      </c>
      <c r="E108" s="102">
        <f t="shared" si="65"/>
        <v>5.4942809364548495</v>
      </c>
      <c r="F108" s="112">
        <v>25</v>
      </c>
      <c r="G108" s="172">
        <v>26</v>
      </c>
      <c r="H108" s="104">
        <f t="shared" si="63"/>
        <v>1971.348</v>
      </c>
      <c r="I108" s="105">
        <f t="shared" si="70"/>
        <v>164.279</v>
      </c>
      <c r="J108" s="113">
        <v>107.424</v>
      </c>
      <c r="K108" s="113">
        <f>+SUM(L108:U108)</f>
        <v>32.231</v>
      </c>
      <c r="L108" s="113">
        <v>0</v>
      </c>
      <c r="M108" s="113">
        <v>0.363</v>
      </c>
      <c r="N108" s="113">
        <v>0</v>
      </c>
      <c r="O108" s="113">
        <v>0</v>
      </c>
      <c r="P108" s="113">
        <v>0</v>
      </c>
      <c r="Q108" s="113">
        <v>0</v>
      </c>
      <c r="R108" s="113">
        <v>27.27</v>
      </c>
      <c r="S108" s="113">
        <v>0</v>
      </c>
      <c r="T108" s="113">
        <v>0</v>
      </c>
      <c r="U108" s="113">
        <v>4.598</v>
      </c>
      <c r="V108" s="113">
        <v>24.624</v>
      </c>
      <c r="W108" s="106">
        <f>+SUM(X108:Y108,AJ108)</f>
        <v>175.973</v>
      </c>
      <c r="X108" s="171">
        <v>115.414</v>
      </c>
      <c r="Y108" s="113">
        <f>+SUM(Z108:AI108)</f>
        <v>34.086</v>
      </c>
      <c r="Z108" s="171">
        <v>0</v>
      </c>
      <c r="AA108" s="171">
        <v>0.39</v>
      </c>
      <c r="AB108" s="171">
        <v>0</v>
      </c>
      <c r="AC108" s="171">
        <v>0</v>
      </c>
      <c r="AD108" s="171">
        <v>0</v>
      </c>
      <c r="AE108" s="171">
        <v>0</v>
      </c>
      <c r="AF108" s="171">
        <v>28.756</v>
      </c>
      <c r="AG108" s="171">
        <v>0</v>
      </c>
      <c r="AH108" s="171">
        <v>0</v>
      </c>
      <c r="AI108" s="171">
        <v>4.94</v>
      </c>
      <c r="AJ108" s="171">
        <v>26.473</v>
      </c>
      <c r="AK108" s="113">
        <f t="shared" si="71"/>
        <v>11.694000000000017</v>
      </c>
      <c r="AL108" s="151">
        <f>+AK108*6</f>
        <v>70.1640000000001</v>
      </c>
      <c r="AM108" s="114"/>
      <c r="AN108" s="108">
        <v>442</v>
      </c>
      <c r="AO108" s="114"/>
      <c r="AP108" s="114"/>
      <c r="AQ108" s="114"/>
      <c r="AR108" s="114"/>
    </row>
    <row r="109" spans="1:44" s="109" customFormat="1" ht="12.75">
      <c r="A109" s="99"/>
      <c r="B109" s="100" t="s">
        <v>158</v>
      </c>
      <c r="C109" s="101" t="s">
        <v>127</v>
      </c>
      <c r="D109" s="102">
        <f t="shared" si="64"/>
        <v>3.4266798418972333</v>
      </c>
      <c r="E109" s="102">
        <f t="shared" si="65"/>
        <v>5.5322134387351785</v>
      </c>
      <c r="F109" s="103">
        <v>49</v>
      </c>
      <c r="G109" s="103">
        <v>44</v>
      </c>
      <c r="H109" s="104">
        <f t="shared" si="63"/>
        <v>3359.16</v>
      </c>
      <c r="I109" s="105">
        <f t="shared" si="70"/>
        <v>279.93</v>
      </c>
      <c r="J109" s="105">
        <v>173.39</v>
      </c>
      <c r="K109" s="105">
        <f t="shared" si="67"/>
        <v>65.48</v>
      </c>
      <c r="L109" s="105">
        <v>0</v>
      </c>
      <c r="M109" s="105">
        <v>9.08</v>
      </c>
      <c r="N109" s="105">
        <v>0</v>
      </c>
      <c r="O109" s="105">
        <v>0</v>
      </c>
      <c r="P109" s="105">
        <v>1.82</v>
      </c>
      <c r="Q109" s="105">
        <v>0</v>
      </c>
      <c r="R109" s="105">
        <v>45.74</v>
      </c>
      <c r="S109" s="105">
        <v>2.54</v>
      </c>
      <c r="T109" s="105">
        <v>0</v>
      </c>
      <c r="U109" s="105">
        <v>6.3</v>
      </c>
      <c r="V109" s="105">
        <v>41.06</v>
      </c>
      <c r="W109" s="106">
        <f t="shared" si="58"/>
        <v>300.6</v>
      </c>
      <c r="X109" s="105">
        <v>186.29</v>
      </c>
      <c r="Y109" s="105">
        <f t="shared" si="59"/>
        <v>70.2</v>
      </c>
      <c r="Z109" s="105">
        <v>0</v>
      </c>
      <c r="AA109" s="105">
        <v>9.75</v>
      </c>
      <c r="AB109" s="105">
        <v>0</v>
      </c>
      <c r="AC109" s="105">
        <v>0</v>
      </c>
      <c r="AD109" s="105">
        <v>1.95</v>
      </c>
      <c r="AE109" s="105">
        <v>0</v>
      </c>
      <c r="AF109" s="105">
        <v>49.14</v>
      </c>
      <c r="AG109" s="105">
        <v>2.73</v>
      </c>
      <c r="AH109" s="105">
        <v>0</v>
      </c>
      <c r="AI109" s="105">
        <v>6.63</v>
      </c>
      <c r="AJ109" s="105">
        <v>44.11</v>
      </c>
      <c r="AK109" s="105">
        <f t="shared" si="71"/>
        <v>20.670000000000016</v>
      </c>
      <c r="AL109" s="153">
        <f>+AK109*6</f>
        <v>124.0200000000001</v>
      </c>
      <c r="AM109" s="107"/>
      <c r="AN109" s="108">
        <v>625.9</v>
      </c>
      <c r="AO109" s="107"/>
      <c r="AP109" s="107"/>
      <c r="AQ109" s="107"/>
      <c r="AR109" s="107"/>
    </row>
    <row r="110" spans="2:44" s="109" customFormat="1" ht="12.75">
      <c r="B110" s="100" t="s">
        <v>158</v>
      </c>
      <c r="C110" s="101" t="s">
        <v>128</v>
      </c>
      <c r="D110" s="102">
        <f t="shared" si="64"/>
        <v>3.5891304347826085</v>
      </c>
      <c r="E110" s="102">
        <f t="shared" si="65"/>
        <v>6.0249999999999995</v>
      </c>
      <c r="F110" s="103">
        <v>80</v>
      </c>
      <c r="G110" s="103">
        <v>80</v>
      </c>
      <c r="H110" s="106">
        <f t="shared" si="63"/>
        <v>6651.599999999999</v>
      </c>
      <c r="I110" s="105">
        <f t="shared" si="70"/>
        <v>554.3</v>
      </c>
      <c r="J110" s="105">
        <v>330.2</v>
      </c>
      <c r="K110" s="105">
        <f>+SUM(L110:U110)</f>
        <v>140.1</v>
      </c>
      <c r="L110" s="105">
        <v>0</v>
      </c>
      <c r="M110" s="105">
        <v>0.8</v>
      </c>
      <c r="N110" s="105">
        <v>1.5</v>
      </c>
      <c r="O110" s="105">
        <v>0</v>
      </c>
      <c r="P110" s="105">
        <v>1.8</v>
      </c>
      <c r="Q110" s="105">
        <v>0</v>
      </c>
      <c r="R110" s="105">
        <v>90.8</v>
      </c>
      <c r="S110" s="105">
        <v>4</v>
      </c>
      <c r="T110" s="105">
        <v>10.9</v>
      </c>
      <c r="U110" s="105">
        <f>30.3</f>
        <v>30.3</v>
      </c>
      <c r="V110" s="105">
        <v>84</v>
      </c>
      <c r="W110" s="106">
        <f t="shared" si="58"/>
        <v>595.9</v>
      </c>
      <c r="X110" s="165">
        <v>354.8</v>
      </c>
      <c r="Y110" s="105">
        <f aca="true" t="shared" si="72" ref="Y110:Y149">+SUM(Z110:AI110)</f>
        <v>150.79999999999998</v>
      </c>
      <c r="Z110" s="165">
        <v>0</v>
      </c>
      <c r="AA110" s="165">
        <v>0.9</v>
      </c>
      <c r="AB110" s="165">
        <v>1.6</v>
      </c>
      <c r="AC110" s="165">
        <v>0</v>
      </c>
      <c r="AD110" s="165">
        <v>2</v>
      </c>
      <c r="AE110" s="165">
        <v>0</v>
      </c>
      <c r="AF110" s="165">
        <v>97.6</v>
      </c>
      <c r="AG110" s="165">
        <v>4.3</v>
      </c>
      <c r="AH110" s="165">
        <v>11.8</v>
      </c>
      <c r="AI110" s="165">
        <f>32.6</f>
        <v>32.6</v>
      </c>
      <c r="AJ110" s="165">
        <v>90.3</v>
      </c>
      <c r="AK110" s="105">
        <f t="shared" si="71"/>
        <v>41.60000000000002</v>
      </c>
      <c r="AL110" s="153">
        <f>+AK110*6</f>
        <v>249.60000000000014</v>
      </c>
      <c r="AM110" s="107"/>
      <c r="AN110" s="108">
        <v>1515</v>
      </c>
      <c r="AO110" s="107"/>
      <c r="AP110" s="107"/>
      <c r="AQ110" s="107"/>
      <c r="AR110" s="107"/>
    </row>
    <row r="111" spans="2:44" s="109" customFormat="1" ht="12.75">
      <c r="B111" s="100" t="s">
        <v>158</v>
      </c>
      <c r="C111" s="199" t="s">
        <v>129</v>
      </c>
      <c r="D111" s="102">
        <f t="shared" si="64"/>
        <v>3.751472650771389</v>
      </c>
      <c r="E111" s="102">
        <f t="shared" si="65"/>
        <v>6.016175783076204</v>
      </c>
      <c r="F111" s="103">
        <f>F112+F113+F114</f>
        <v>101</v>
      </c>
      <c r="G111" s="103">
        <f aca="true" t="shared" si="73" ref="G111:AN111">G112+G113+G114</f>
        <v>93</v>
      </c>
      <c r="H111" s="103">
        <f t="shared" si="73"/>
        <v>4888.5599999999995</v>
      </c>
      <c r="I111" s="103">
        <f t="shared" si="73"/>
        <v>643.4300000000001</v>
      </c>
      <c r="J111" s="103">
        <f t="shared" si="73"/>
        <v>401.22</v>
      </c>
      <c r="K111" s="103">
        <f t="shared" si="73"/>
        <v>144.65</v>
      </c>
      <c r="L111" s="103">
        <f t="shared" si="73"/>
        <v>0</v>
      </c>
      <c r="M111" s="103">
        <f t="shared" si="73"/>
        <v>16.82</v>
      </c>
      <c r="N111" s="103">
        <f t="shared" si="73"/>
        <v>4.72</v>
      </c>
      <c r="O111" s="103">
        <f t="shared" si="73"/>
        <v>0</v>
      </c>
      <c r="P111" s="103">
        <f t="shared" si="73"/>
        <v>7.26</v>
      </c>
      <c r="Q111" s="103">
        <f t="shared" si="73"/>
        <v>0</v>
      </c>
      <c r="R111" s="103">
        <f t="shared" si="73"/>
        <v>105.7</v>
      </c>
      <c r="S111" s="103">
        <f t="shared" si="73"/>
        <v>0</v>
      </c>
      <c r="T111" s="103">
        <f t="shared" si="73"/>
        <v>1.42</v>
      </c>
      <c r="U111" s="103">
        <f t="shared" si="73"/>
        <v>8.729999999999999</v>
      </c>
      <c r="V111" s="103">
        <f t="shared" si="73"/>
        <v>97.56</v>
      </c>
      <c r="W111" s="103">
        <f t="shared" si="73"/>
        <v>691.28</v>
      </c>
      <c r="X111" s="103">
        <f t="shared" si="73"/>
        <v>431.05999999999995</v>
      </c>
      <c r="Y111" s="103">
        <f t="shared" si="73"/>
        <v>155.41</v>
      </c>
      <c r="Z111" s="103">
        <f t="shared" si="73"/>
        <v>0</v>
      </c>
      <c r="AA111" s="103">
        <f t="shared" si="73"/>
        <v>18.07</v>
      </c>
      <c r="AB111" s="103">
        <f t="shared" si="73"/>
        <v>5.08</v>
      </c>
      <c r="AC111" s="103">
        <f t="shared" si="73"/>
        <v>0</v>
      </c>
      <c r="AD111" s="103">
        <f t="shared" si="73"/>
        <v>7.8</v>
      </c>
      <c r="AE111" s="103">
        <f t="shared" si="73"/>
        <v>0</v>
      </c>
      <c r="AF111" s="103">
        <f t="shared" si="73"/>
        <v>113.54999999999998</v>
      </c>
      <c r="AG111" s="103">
        <f t="shared" si="73"/>
        <v>0</v>
      </c>
      <c r="AH111" s="103">
        <f t="shared" si="73"/>
        <v>1.52</v>
      </c>
      <c r="AI111" s="103">
        <f t="shared" si="73"/>
        <v>9.39</v>
      </c>
      <c r="AJ111" s="103">
        <f t="shared" si="73"/>
        <v>104.81</v>
      </c>
      <c r="AK111" s="103">
        <f t="shared" si="73"/>
        <v>47.84999999999994</v>
      </c>
      <c r="AL111" s="103">
        <f t="shared" si="73"/>
        <v>287.0999999999996</v>
      </c>
      <c r="AM111" s="103">
        <f t="shared" si="73"/>
        <v>0</v>
      </c>
      <c r="AN111" s="103">
        <f t="shared" si="73"/>
        <v>1362.194439</v>
      </c>
      <c r="AO111" s="107"/>
      <c r="AP111" s="107"/>
      <c r="AQ111" s="107"/>
      <c r="AR111" s="107"/>
    </row>
    <row r="112" spans="1:44" s="115" customFormat="1" ht="12.75">
      <c r="A112" s="99"/>
      <c r="B112" s="110"/>
      <c r="C112" s="159" t="s">
        <v>286</v>
      </c>
      <c r="D112" s="102">
        <f t="shared" si="64"/>
        <v>4.217391304347826</v>
      </c>
      <c r="E112" s="102">
        <f t="shared" si="65"/>
        <v>6.945950554134697</v>
      </c>
      <c r="F112" s="112">
        <v>54</v>
      </c>
      <c r="G112" s="112">
        <v>51</v>
      </c>
      <c r="H112" s="104">
        <f t="shared" si="63"/>
        <v>4888.5599999999995</v>
      </c>
      <c r="I112" s="105">
        <f t="shared" si="70"/>
        <v>407.38</v>
      </c>
      <c r="J112" s="113">
        <v>247.35</v>
      </c>
      <c r="K112" s="113">
        <f t="shared" si="67"/>
        <v>99.04</v>
      </c>
      <c r="L112" s="113">
        <v>0</v>
      </c>
      <c r="M112" s="113">
        <v>11.98</v>
      </c>
      <c r="N112" s="113">
        <v>4.42</v>
      </c>
      <c r="O112" s="113">
        <v>0</v>
      </c>
      <c r="P112" s="113">
        <v>7.26</v>
      </c>
      <c r="Q112" s="113">
        <v>0</v>
      </c>
      <c r="R112" s="113">
        <v>65.95</v>
      </c>
      <c r="S112" s="113">
        <v>0</v>
      </c>
      <c r="T112" s="113">
        <v>1.42</v>
      </c>
      <c r="U112" s="113">
        <f>0.36+7.02+0.39+0.24</f>
        <v>8.01</v>
      </c>
      <c r="V112" s="113">
        <v>60.99</v>
      </c>
      <c r="W112" s="106">
        <f t="shared" si="58"/>
        <v>437.66999999999996</v>
      </c>
      <c r="X112" s="113">
        <v>265.75</v>
      </c>
      <c r="Y112" s="113">
        <f t="shared" si="72"/>
        <v>106.39999999999999</v>
      </c>
      <c r="Z112" s="113">
        <v>0</v>
      </c>
      <c r="AA112" s="113">
        <v>12.87</v>
      </c>
      <c r="AB112" s="113">
        <v>4.75</v>
      </c>
      <c r="AC112" s="113">
        <v>0</v>
      </c>
      <c r="AD112" s="113">
        <v>7.8</v>
      </c>
      <c r="AE112" s="113">
        <v>0</v>
      </c>
      <c r="AF112" s="113">
        <v>70.85</v>
      </c>
      <c r="AG112" s="113">
        <v>0</v>
      </c>
      <c r="AH112" s="113">
        <v>1.52</v>
      </c>
      <c r="AI112" s="113">
        <f>0.39+0.42+7.54+0.26</f>
        <v>8.61</v>
      </c>
      <c r="AJ112" s="113">
        <v>65.52</v>
      </c>
      <c r="AK112" s="113">
        <f t="shared" si="71"/>
        <v>30.289999999999964</v>
      </c>
      <c r="AL112" s="151">
        <f>+AK112*6</f>
        <v>181.73999999999978</v>
      </c>
      <c r="AM112" s="114"/>
      <c r="AN112" s="108">
        <v>479.462214</v>
      </c>
      <c r="AO112" s="114"/>
      <c r="AP112" s="114"/>
      <c r="AQ112" s="114"/>
      <c r="AR112" s="114"/>
    </row>
    <row r="113" spans="1:44" s="115" customFormat="1" ht="12.75">
      <c r="A113" s="99"/>
      <c r="B113" s="110"/>
      <c r="C113" s="159" t="s">
        <v>296</v>
      </c>
      <c r="D113" s="102">
        <f t="shared" si="64"/>
        <v>3.31304347826087</v>
      </c>
      <c r="E113" s="102"/>
      <c r="F113" s="112">
        <v>24</v>
      </c>
      <c r="G113" s="112">
        <v>21</v>
      </c>
      <c r="H113" s="104"/>
      <c r="I113" s="105">
        <f t="shared" si="70"/>
        <v>123.34</v>
      </c>
      <c r="J113" s="113">
        <v>80.01</v>
      </c>
      <c r="K113" s="113">
        <f t="shared" si="67"/>
        <v>24.22</v>
      </c>
      <c r="L113" s="113">
        <v>0</v>
      </c>
      <c r="M113" s="113">
        <v>2.78</v>
      </c>
      <c r="N113" s="113">
        <v>0.3</v>
      </c>
      <c r="O113" s="113">
        <v>0</v>
      </c>
      <c r="P113" s="113">
        <v>0</v>
      </c>
      <c r="Q113" s="113">
        <v>0</v>
      </c>
      <c r="R113" s="113">
        <v>20.78</v>
      </c>
      <c r="S113" s="113">
        <v>0</v>
      </c>
      <c r="T113" s="113">
        <v>0</v>
      </c>
      <c r="U113" s="113">
        <v>0.36</v>
      </c>
      <c r="V113" s="113">
        <v>19.11</v>
      </c>
      <c r="W113" s="106">
        <f t="shared" si="58"/>
        <v>132.51999999999998</v>
      </c>
      <c r="X113" s="113">
        <v>85.96</v>
      </c>
      <c r="Y113" s="113">
        <f t="shared" si="72"/>
        <v>26.03</v>
      </c>
      <c r="Z113" s="113">
        <v>0</v>
      </c>
      <c r="AA113" s="113">
        <v>2.99</v>
      </c>
      <c r="AB113" s="113">
        <v>0.33</v>
      </c>
      <c r="AC113" s="113">
        <v>0</v>
      </c>
      <c r="AD113" s="113">
        <v>0</v>
      </c>
      <c r="AE113" s="113">
        <v>0</v>
      </c>
      <c r="AF113" s="113">
        <v>22.32</v>
      </c>
      <c r="AG113" s="113">
        <v>0</v>
      </c>
      <c r="AH113" s="113">
        <v>0</v>
      </c>
      <c r="AI113" s="113">
        <v>0.39</v>
      </c>
      <c r="AJ113" s="113">
        <v>20.53</v>
      </c>
      <c r="AK113" s="113">
        <f t="shared" si="71"/>
        <v>9.179999999999978</v>
      </c>
      <c r="AL113" s="151">
        <f>+AK113*6</f>
        <v>55.07999999999987</v>
      </c>
      <c r="AM113" s="114"/>
      <c r="AN113" s="108">
        <v>444.3</v>
      </c>
      <c r="AO113" s="114"/>
      <c r="AP113" s="114"/>
      <c r="AQ113" s="114"/>
      <c r="AR113" s="114"/>
    </row>
    <row r="114" spans="1:44" s="115" customFormat="1" ht="12.75">
      <c r="A114" s="99"/>
      <c r="B114" s="110"/>
      <c r="C114" s="159" t="s">
        <v>297</v>
      </c>
      <c r="D114" s="102">
        <f t="shared" si="64"/>
        <v>3.058385093167702</v>
      </c>
      <c r="E114" s="102"/>
      <c r="F114" s="112">
        <v>23</v>
      </c>
      <c r="G114" s="112">
        <v>21</v>
      </c>
      <c r="H114" s="104"/>
      <c r="I114" s="105">
        <f t="shared" si="70"/>
        <v>112.71000000000001</v>
      </c>
      <c r="J114" s="113">
        <v>73.86</v>
      </c>
      <c r="K114" s="113">
        <f t="shared" si="67"/>
        <v>21.389999999999997</v>
      </c>
      <c r="L114" s="113">
        <v>0</v>
      </c>
      <c r="M114" s="113">
        <v>2.06</v>
      </c>
      <c r="N114" s="113">
        <v>0</v>
      </c>
      <c r="O114" s="113">
        <v>0</v>
      </c>
      <c r="P114" s="113">
        <v>0</v>
      </c>
      <c r="Q114" s="113">
        <v>0</v>
      </c>
      <c r="R114" s="113">
        <v>18.97</v>
      </c>
      <c r="S114" s="113">
        <v>0</v>
      </c>
      <c r="T114" s="113">
        <v>0</v>
      </c>
      <c r="U114" s="113">
        <v>0.36</v>
      </c>
      <c r="V114" s="113">
        <v>17.46</v>
      </c>
      <c r="W114" s="106">
        <f t="shared" si="58"/>
        <v>121.09</v>
      </c>
      <c r="X114" s="113">
        <v>79.35</v>
      </c>
      <c r="Y114" s="113">
        <f t="shared" si="72"/>
        <v>22.98</v>
      </c>
      <c r="Z114" s="113">
        <v>0</v>
      </c>
      <c r="AA114" s="113">
        <v>2.21</v>
      </c>
      <c r="AB114" s="113">
        <v>0</v>
      </c>
      <c r="AC114" s="113">
        <v>0</v>
      </c>
      <c r="AD114" s="113">
        <v>0</v>
      </c>
      <c r="AE114" s="113">
        <v>0</v>
      </c>
      <c r="AF114" s="113">
        <v>20.38</v>
      </c>
      <c r="AG114" s="113">
        <v>0</v>
      </c>
      <c r="AH114" s="113">
        <v>0</v>
      </c>
      <c r="AI114" s="113">
        <v>0.39</v>
      </c>
      <c r="AJ114" s="113">
        <v>18.76</v>
      </c>
      <c r="AK114" s="113">
        <f t="shared" si="71"/>
        <v>8.379999999999995</v>
      </c>
      <c r="AL114" s="151">
        <f>+AK114*6</f>
        <v>50.27999999999997</v>
      </c>
      <c r="AM114" s="114"/>
      <c r="AN114" s="108">
        <v>438.432225</v>
      </c>
      <c r="AO114" s="114"/>
      <c r="AP114" s="114"/>
      <c r="AQ114" s="114"/>
      <c r="AR114" s="114"/>
    </row>
    <row r="115" spans="1:44" s="109" customFormat="1" ht="12.75">
      <c r="A115" s="99"/>
      <c r="B115" s="100" t="s">
        <v>158</v>
      </c>
      <c r="C115" s="101" t="s">
        <v>130</v>
      </c>
      <c r="D115" s="102">
        <f t="shared" si="64"/>
        <v>3.423913043478261</v>
      </c>
      <c r="E115" s="102">
        <f t="shared" si="65"/>
        <v>5.348731884057972</v>
      </c>
      <c r="F115" s="103">
        <f>+F116+F117</f>
        <v>101</v>
      </c>
      <c r="G115" s="103">
        <f aca="true" t="shared" si="74" ref="G115:AL115">+G116+G117</f>
        <v>96</v>
      </c>
      <c r="H115" s="104">
        <f t="shared" si="63"/>
        <v>7086</v>
      </c>
      <c r="I115" s="105">
        <f t="shared" si="74"/>
        <v>590.5</v>
      </c>
      <c r="J115" s="105">
        <f t="shared" si="74"/>
        <v>378</v>
      </c>
      <c r="K115" s="105">
        <f t="shared" si="74"/>
        <v>130.5</v>
      </c>
      <c r="L115" s="105">
        <f t="shared" si="74"/>
        <v>0</v>
      </c>
      <c r="M115" s="105">
        <f t="shared" si="74"/>
        <v>15</v>
      </c>
      <c r="N115" s="105">
        <f t="shared" si="74"/>
        <v>3.7</v>
      </c>
      <c r="O115" s="105">
        <f t="shared" si="74"/>
        <v>0</v>
      </c>
      <c r="P115" s="105">
        <f t="shared" si="74"/>
        <v>0</v>
      </c>
      <c r="Q115" s="105">
        <f t="shared" si="74"/>
        <v>0</v>
      </c>
      <c r="R115" s="105">
        <f t="shared" si="74"/>
        <v>95</v>
      </c>
      <c r="S115" s="105">
        <f t="shared" si="74"/>
        <v>0</v>
      </c>
      <c r="T115" s="105">
        <f t="shared" si="74"/>
        <v>4</v>
      </c>
      <c r="U115" s="105">
        <f t="shared" si="74"/>
        <v>12.8</v>
      </c>
      <c r="V115" s="105">
        <f t="shared" si="74"/>
        <v>82</v>
      </c>
      <c r="W115" s="106">
        <f t="shared" si="74"/>
        <v>632.5</v>
      </c>
      <c r="X115" s="105">
        <f t="shared" si="74"/>
        <v>406</v>
      </c>
      <c r="Y115" s="105">
        <f t="shared" si="74"/>
        <v>140.5</v>
      </c>
      <c r="Z115" s="105">
        <f t="shared" si="74"/>
        <v>0</v>
      </c>
      <c r="AA115" s="105">
        <f t="shared" si="74"/>
        <v>16</v>
      </c>
      <c r="AB115" s="105">
        <f t="shared" si="74"/>
        <v>3.9</v>
      </c>
      <c r="AC115" s="105">
        <f t="shared" si="74"/>
        <v>0</v>
      </c>
      <c r="AD115" s="105">
        <f t="shared" si="74"/>
        <v>0</v>
      </c>
      <c r="AE115" s="105">
        <f t="shared" si="74"/>
        <v>0</v>
      </c>
      <c r="AF115" s="105">
        <f t="shared" si="74"/>
        <v>102</v>
      </c>
      <c r="AG115" s="105">
        <f t="shared" si="74"/>
        <v>0</v>
      </c>
      <c r="AH115" s="105">
        <f t="shared" si="74"/>
        <v>4.6</v>
      </c>
      <c r="AI115" s="105">
        <f t="shared" si="74"/>
        <v>14</v>
      </c>
      <c r="AJ115" s="105">
        <f t="shared" si="74"/>
        <v>86</v>
      </c>
      <c r="AK115" s="105">
        <f t="shared" si="74"/>
        <v>42</v>
      </c>
      <c r="AL115" s="153">
        <f t="shared" si="74"/>
        <v>252</v>
      </c>
      <c r="AM115" s="107"/>
      <c r="AN115" s="196">
        <f>+AN116+AN117</f>
        <v>1277.05</v>
      </c>
      <c r="AO115" s="107"/>
      <c r="AP115" s="107"/>
      <c r="AQ115" s="107"/>
      <c r="AR115" s="107"/>
    </row>
    <row r="116" spans="1:44" s="115" customFormat="1" ht="12.75">
      <c r="A116" s="99"/>
      <c r="B116" s="110"/>
      <c r="C116" s="170" t="s">
        <v>285</v>
      </c>
      <c r="D116" s="102">
        <f t="shared" si="64"/>
        <v>3.467525496511004</v>
      </c>
      <c r="E116" s="102">
        <f t="shared" si="65"/>
        <v>5.469672571121847</v>
      </c>
      <c r="F116" s="112">
        <v>81</v>
      </c>
      <c r="G116" s="112">
        <v>81</v>
      </c>
      <c r="H116" s="104">
        <f t="shared" si="63"/>
        <v>6114</v>
      </c>
      <c r="I116" s="105">
        <f>+SUM(J116:K116,V116)</f>
        <v>509.5</v>
      </c>
      <c r="J116" s="113">
        <v>323</v>
      </c>
      <c r="K116" s="113">
        <f t="shared" si="67"/>
        <v>111.5</v>
      </c>
      <c r="L116" s="113">
        <v>0</v>
      </c>
      <c r="M116" s="113">
        <v>13</v>
      </c>
      <c r="N116" s="113">
        <v>1.7</v>
      </c>
      <c r="O116" s="113">
        <v>0</v>
      </c>
      <c r="P116" s="113">
        <v>0</v>
      </c>
      <c r="Q116" s="113">
        <v>0</v>
      </c>
      <c r="R116" s="113">
        <v>80</v>
      </c>
      <c r="S116" s="113">
        <v>0</v>
      </c>
      <c r="T116" s="113">
        <v>4</v>
      </c>
      <c r="U116" s="113">
        <f>0.8+12</f>
        <v>12.8</v>
      </c>
      <c r="V116" s="113">
        <v>75</v>
      </c>
      <c r="W116" s="106">
        <f t="shared" si="58"/>
        <v>545.5</v>
      </c>
      <c r="X116" s="113">
        <v>347</v>
      </c>
      <c r="Y116" s="113">
        <f t="shared" si="72"/>
        <v>120.5</v>
      </c>
      <c r="Z116" s="113">
        <v>0</v>
      </c>
      <c r="AA116" s="113">
        <v>14</v>
      </c>
      <c r="AB116" s="113">
        <v>1.9</v>
      </c>
      <c r="AC116" s="113">
        <v>0</v>
      </c>
      <c r="AD116" s="113">
        <v>0</v>
      </c>
      <c r="AE116" s="113">
        <v>0</v>
      </c>
      <c r="AF116" s="113">
        <v>86</v>
      </c>
      <c r="AG116" s="113">
        <v>0</v>
      </c>
      <c r="AH116" s="113">
        <v>4.6</v>
      </c>
      <c r="AI116" s="113">
        <f>1+13</f>
        <v>14</v>
      </c>
      <c r="AJ116" s="113">
        <v>78</v>
      </c>
      <c r="AK116" s="113">
        <f>+W116-I116</f>
        <v>36</v>
      </c>
      <c r="AL116" s="151">
        <f>+AK116*6</f>
        <v>216</v>
      </c>
      <c r="AM116" s="114"/>
      <c r="AN116" s="108">
        <v>957</v>
      </c>
      <c r="AO116" s="114"/>
      <c r="AP116" s="114"/>
      <c r="AQ116" s="114"/>
      <c r="AR116" s="114"/>
    </row>
    <row r="117" spans="1:44" s="115" customFormat="1" ht="25.5">
      <c r="A117" s="99"/>
      <c r="B117" s="110" t="s">
        <v>357</v>
      </c>
      <c r="C117" s="170" t="s">
        <v>263</v>
      </c>
      <c r="D117" s="102">
        <f t="shared" si="64"/>
        <v>3.1884057971014492</v>
      </c>
      <c r="E117" s="102">
        <f t="shared" si="65"/>
        <v>4.695652173913044</v>
      </c>
      <c r="F117" s="112">
        <v>20</v>
      </c>
      <c r="G117" s="112">
        <v>15</v>
      </c>
      <c r="H117" s="104">
        <f t="shared" si="63"/>
        <v>972</v>
      </c>
      <c r="I117" s="105">
        <f>+SUM(J117:K117,V117)</f>
        <v>81</v>
      </c>
      <c r="J117" s="113">
        <v>55</v>
      </c>
      <c r="K117" s="113">
        <f>+SUM(L117:U117)</f>
        <v>19</v>
      </c>
      <c r="L117" s="113">
        <v>0</v>
      </c>
      <c r="M117" s="113">
        <v>2</v>
      </c>
      <c r="N117" s="113">
        <v>2</v>
      </c>
      <c r="O117" s="113">
        <v>0</v>
      </c>
      <c r="P117" s="113">
        <v>0</v>
      </c>
      <c r="Q117" s="113">
        <v>0</v>
      </c>
      <c r="R117" s="113">
        <v>15</v>
      </c>
      <c r="S117" s="113">
        <v>0</v>
      </c>
      <c r="T117" s="113">
        <v>0</v>
      </c>
      <c r="U117" s="113">
        <v>0</v>
      </c>
      <c r="V117" s="113">
        <v>7</v>
      </c>
      <c r="W117" s="106">
        <f>+SUM(X117:Y117,AJ117)</f>
        <v>87</v>
      </c>
      <c r="X117" s="113">
        <v>59</v>
      </c>
      <c r="Y117" s="113">
        <f>+SUM(Z117:AI117)</f>
        <v>20</v>
      </c>
      <c r="Z117" s="113">
        <v>0</v>
      </c>
      <c r="AA117" s="113">
        <v>2</v>
      </c>
      <c r="AB117" s="113">
        <v>2</v>
      </c>
      <c r="AC117" s="113">
        <v>0</v>
      </c>
      <c r="AD117" s="113">
        <v>0</v>
      </c>
      <c r="AE117" s="113">
        <v>0</v>
      </c>
      <c r="AF117" s="113">
        <v>16</v>
      </c>
      <c r="AG117" s="113">
        <v>0</v>
      </c>
      <c r="AH117" s="113">
        <v>0</v>
      </c>
      <c r="AI117" s="113">
        <v>0</v>
      </c>
      <c r="AJ117" s="113">
        <v>8</v>
      </c>
      <c r="AK117" s="113">
        <f>+W117-I117</f>
        <v>6</v>
      </c>
      <c r="AL117" s="151">
        <f>+AK117*6</f>
        <v>36</v>
      </c>
      <c r="AM117" s="114"/>
      <c r="AN117" s="108">
        <v>320.05</v>
      </c>
      <c r="AO117" s="114"/>
      <c r="AP117" s="114"/>
      <c r="AQ117" s="114"/>
      <c r="AR117" s="114"/>
    </row>
    <row r="118" spans="1:44" s="115" customFormat="1" ht="12.75">
      <c r="A118" s="99"/>
      <c r="B118" s="110" t="s">
        <v>158</v>
      </c>
      <c r="C118" s="111" t="s">
        <v>131</v>
      </c>
      <c r="D118" s="102">
        <f t="shared" si="64"/>
        <v>3.6242878560719647</v>
      </c>
      <c r="E118" s="102">
        <f t="shared" si="65"/>
        <v>5.691754122938531</v>
      </c>
      <c r="F118" s="112">
        <v>35</v>
      </c>
      <c r="G118" s="112">
        <v>29</v>
      </c>
      <c r="H118" s="104">
        <f t="shared" si="63"/>
        <v>2277.84</v>
      </c>
      <c r="I118" s="105">
        <f>+SUM(J118:K118,V118)</f>
        <v>189.82</v>
      </c>
      <c r="J118" s="113">
        <v>120.87</v>
      </c>
      <c r="K118" s="113">
        <f t="shared" si="67"/>
        <v>39.63</v>
      </c>
      <c r="L118" s="113">
        <v>0</v>
      </c>
      <c r="M118" s="113">
        <v>6.17</v>
      </c>
      <c r="N118" s="113">
        <v>0.44</v>
      </c>
      <c r="O118" s="113">
        <v>0</v>
      </c>
      <c r="P118" s="113">
        <v>0</v>
      </c>
      <c r="Q118" s="113">
        <v>0</v>
      </c>
      <c r="R118" s="113">
        <v>31.87</v>
      </c>
      <c r="S118" s="113">
        <v>0</v>
      </c>
      <c r="T118" s="113">
        <v>0</v>
      </c>
      <c r="U118" s="113">
        <v>1.15</v>
      </c>
      <c r="V118" s="113">
        <v>29.32</v>
      </c>
      <c r="W118" s="106">
        <f t="shared" si="58"/>
        <v>203.94000000000003</v>
      </c>
      <c r="X118" s="113">
        <v>129.86</v>
      </c>
      <c r="Y118" s="113">
        <f t="shared" si="72"/>
        <v>42.580000000000005</v>
      </c>
      <c r="Z118" s="113">
        <v>0</v>
      </c>
      <c r="AA118" s="113">
        <v>6.63</v>
      </c>
      <c r="AB118" s="113">
        <v>0.47</v>
      </c>
      <c r="AC118" s="113">
        <v>0</v>
      </c>
      <c r="AD118" s="113">
        <v>0</v>
      </c>
      <c r="AE118" s="113">
        <v>0</v>
      </c>
      <c r="AF118" s="113">
        <v>34.24</v>
      </c>
      <c r="AG118" s="113">
        <v>0</v>
      </c>
      <c r="AH118" s="113">
        <v>0</v>
      </c>
      <c r="AI118" s="113">
        <v>1.24</v>
      </c>
      <c r="AJ118" s="113">
        <v>31.5</v>
      </c>
      <c r="AK118" s="113">
        <f>+W118-I118</f>
        <v>14.120000000000033</v>
      </c>
      <c r="AL118" s="151">
        <f>+AK118*6</f>
        <v>84.7200000000002</v>
      </c>
      <c r="AM118" s="114"/>
      <c r="AN118" s="108">
        <v>447.3</v>
      </c>
      <c r="AO118" s="114"/>
      <c r="AP118" s="114"/>
      <c r="AQ118" s="114"/>
      <c r="AR118" s="114"/>
    </row>
    <row r="119" spans="1:44" s="109" customFormat="1" ht="12.75">
      <c r="A119" s="99"/>
      <c r="B119" s="100" t="s">
        <v>158</v>
      </c>
      <c r="C119" s="101" t="s">
        <v>132</v>
      </c>
      <c r="D119" s="102">
        <f t="shared" si="64"/>
        <v>3.273826086956522</v>
      </c>
      <c r="E119" s="102">
        <f t="shared" si="65"/>
        <v>5.320413043478261</v>
      </c>
      <c r="F119" s="103">
        <f>+F120+F121</f>
        <v>41</v>
      </c>
      <c r="G119" s="103">
        <f aca="true" t="shared" si="75" ref="G119:AL119">+G120+G121</f>
        <v>40</v>
      </c>
      <c r="H119" s="104">
        <f t="shared" si="63"/>
        <v>2936.868</v>
      </c>
      <c r="I119" s="105">
        <f t="shared" si="75"/>
        <v>244.739</v>
      </c>
      <c r="J119" s="105">
        <f t="shared" si="75"/>
        <v>150.596</v>
      </c>
      <c r="K119" s="105">
        <f t="shared" si="75"/>
        <v>57.53</v>
      </c>
      <c r="L119" s="105">
        <f t="shared" si="75"/>
        <v>0</v>
      </c>
      <c r="M119" s="105">
        <f t="shared" si="75"/>
        <v>8.228</v>
      </c>
      <c r="N119" s="105">
        <f t="shared" si="75"/>
        <v>0.363</v>
      </c>
      <c r="O119" s="105">
        <f t="shared" si="75"/>
        <v>0</v>
      </c>
      <c r="P119" s="105">
        <f t="shared" si="75"/>
        <v>4.235</v>
      </c>
      <c r="Q119" s="105">
        <f t="shared" si="75"/>
        <v>0</v>
      </c>
      <c r="R119" s="105">
        <f t="shared" si="75"/>
        <v>38.699</v>
      </c>
      <c r="S119" s="105">
        <f t="shared" si="75"/>
        <v>2.541</v>
      </c>
      <c r="T119" s="105">
        <f t="shared" si="75"/>
        <v>0.209</v>
      </c>
      <c r="U119" s="105">
        <f t="shared" si="75"/>
        <v>3.255</v>
      </c>
      <c r="V119" s="105">
        <f t="shared" si="75"/>
        <v>36.613</v>
      </c>
      <c r="W119" s="106">
        <f t="shared" si="75"/>
        <v>289</v>
      </c>
      <c r="X119" s="105">
        <f t="shared" si="75"/>
        <v>176.8</v>
      </c>
      <c r="Y119" s="105">
        <f t="shared" si="75"/>
        <v>69.9</v>
      </c>
      <c r="Z119" s="105">
        <f t="shared" si="75"/>
        <v>0</v>
      </c>
      <c r="AA119" s="105">
        <f t="shared" si="75"/>
        <v>9.9</v>
      </c>
      <c r="AB119" s="105">
        <f t="shared" si="75"/>
        <v>0.3</v>
      </c>
      <c r="AC119" s="105">
        <f t="shared" si="75"/>
        <v>0</v>
      </c>
      <c r="AD119" s="105">
        <f t="shared" si="75"/>
        <v>7.2</v>
      </c>
      <c r="AE119" s="105">
        <f t="shared" si="75"/>
        <v>0</v>
      </c>
      <c r="AF119" s="105">
        <f t="shared" si="75"/>
        <v>46.1</v>
      </c>
      <c r="AG119" s="105">
        <f t="shared" si="75"/>
        <v>2.7</v>
      </c>
      <c r="AH119" s="105">
        <f t="shared" si="75"/>
        <v>0.2</v>
      </c>
      <c r="AI119" s="105">
        <f t="shared" si="75"/>
        <v>3.5</v>
      </c>
      <c r="AJ119" s="105">
        <f t="shared" si="75"/>
        <v>42.3</v>
      </c>
      <c r="AK119" s="105">
        <f t="shared" si="75"/>
        <v>44.260999999999996</v>
      </c>
      <c r="AL119" s="153">
        <f t="shared" si="75"/>
        <v>265.566</v>
      </c>
      <c r="AM119" s="107"/>
      <c r="AN119" s="108">
        <v>842</v>
      </c>
      <c r="AO119" s="107"/>
      <c r="AP119" s="107"/>
      <c r="AQ119" s="107"/>
      <c r="AR119" s="107"/>
    </row>
    <row r="120" spans="1:44" s="115" customFormat="1" ht="15" customHeight="1">
      <c r="A120" s="99"/>
      <c r="B120" s="110"/>
      <c r="C120" s="111" t="s">
        <v>334</v>
      </c>
      <c r="D120" s="102">
        <f t="shared" si="64"/>
        <v>3.273826086956522</v>
      </c>
      <c r="E120" s="102">
        <f t="shared" si="65"/>
        <v>5.320413043478261</v>
      </c>
      <c r="F120" s="112">
        <v>41</v>
      </c>
      <c r="G120" s="112">
        <v>40</v>
      </c>
      <c r="H120" s="104">
        <f t="shared" si="63"/>
        <v>2936.868</v>
      </c>
      <c r="I120" s="105">
        <f aca="true" t="shared" si="76" ref="I120:I126">+SUM(J120:K120,V120)</f>
        <v>244.739</v>
      </c>
      <c r="J120" s="113">
        <v>150.596</v>
      </c>
      <c r="K120" s="113">
        <f>SUM(L120:U120)</f>
        <v>57.53</v>
      </c>
      <c r="L120" s="113">
        <v>0</v>
      </c>
      <c r="M120" s="113">
        <v>8.228</v>
      </c>
      <c r="N120" s="113">
        <v>0.363</v>
      </c>
      <c r="O120" s="113">
        <v>0</v>
      </c>
      <c r="P120" s="113">
        <v>4.235</v>
      </c>
      <c r="Q120" s="113">
        <v>0</v>
      </c>
      <c r="R120" s="113">
        <v>38.699</v>
      </c>
      <c r="S120" s="113">
        <v>2.541</v>
      </c>
      <c r="T120" s="113">
        <v>0.209</v>
      </c>
      <c r="U120" s="113">
        <v>3.255</v>
      </c>
      <c r="V120" s="113">
        <v>36.613</v>
      </c>
      <c r="W120" s="106">
        <f>+SUM(X120:Y120,AJ120)</f>
        <v>289</v>
      </c>
      <c r="X120" s="113">
        <v>176.8</v>
      </c>
      <c r="Y120" s="113">
        <f>+SUM(Z120:AI120)</f>
        <v>69.9</v>
      </c>
      <c r="Z120" s="113">
        <v>0</v>
      </c>
      <c r="AA120" s="113">
        <v>9.9</v>
      </c>
      <c r="AB120" s="113">
        <v>0.3</v>
      </c>
      <c r="AC120" s="113">
        <v>0</v>
      </c>
      <c r="AD120" s="113">
        <v>7.2</v>
      </c>
      <c r="AE120" s="113">
        <v>0</v>
      </c>
      <c r="AF120" s="113">
        <v>46.1</v>
      </c>
      <c r="AG120" s="113">
        <v>2.7</v>
      </c>
      <c r="AH120" s="113">
        <v>0.2</v>
      </c>
      <c r="AI120" s="113">
        <v>3.5</v>
      </c>
      <c r="AJ120" s="113">
        <v>42.3</v>
      </c>
      <c r="AK120" s="113">
        <f>+W120-I120</f>
        <v>44.260999999999996</v>
      </c>
      <c r="AL120" s="151">
        <f>AK120*6</f>
        <v>265.566</v>
      </c>
      <c r="AM120" s="114"/>
      <c r="AN120" s="108">
        <v>0</v>
      </c>
      <c r="AO120" s="114"/>
      <c r="AP120" s="114"/>
      <c r="AQ120" s="114"/>
      <c r="AR120" s="114"/>
    </row>
    <row r="121" spans="1:44" s="115" customFormat="1" ht="12.75" customHeight="1">
      <c r="A121" s="99"/>
      <c r="B121" s="110"/>
      <c r="C121" s="111" t="s">
        <v>335</v>
      </c>
      <c r="D121" s="102" t="e">
        <f t="shared" si="64"/>
        <v>#DIV/0!</v>
      </c>
      <c r="E121" s="102" t="e">
        <f t="shared" si="65"/>
        <v>#DIV/0!</v>
      </c>
      <c r="F121" s="112">
        <v>0</v>
      </c>
      <c r="G121" s="112">
        <v>0</v>
      </c>
      <c r="H121" s="104">
        <f t="shared" si="63"/>
        <v>0</v>
      </c>
      <c r="I121" s="105">
        <f t="shared" si="76"/>
        <v>0</v>
      </c>
      <c r="J121" s="113">
        <v>0</v>
      </c>
      <c r="K121" s="113">
        <f>SUM(L121:U121)</f>
        <v>0</v>
      </c>
      <c r="L121" s="113">
        <v>0</v>
      </c>
      <c r="M121" s="113">
        <v>0</v>
      </c>
      <c r="N121" s="113">
        <v>0</v>
      </c>
      <c r="O121" s="113">
        <v>0</v>
      </c>
      <c r="P121" s="113">
        <v>0</v>
      </c>
      <c r="Q121" s="113">
        <v>0</v>
      </c>
      <c r="R121" s="113">
        <v>0</v>
      </c>
      <c r="S121" s="113">
        <v>0</v>
      </c>
      <c r="T121" s="113">
        <v>0</v>
      </c>
      <c r="U121" s="113">
        <v>0</v>
      </c>
      <c r="V121" s="113">
        <v>0</v>
      </c>
      <c r="W121" s="106">
        <f>+SUM(X121:Y121,AJ121)</f>
        <v>0</v>
      </c>
      <c r="X121" s="113">
        <v>0</v>
      </c>
      <c r="Y121" s="113">
        <f>+SUM(Z121:AI121)</f>
        <v>0</v>
      </c>
      <c r="Z121" s="113">
        <v>0</v>
      </c>
      <c r="AA121" s="113">
        <v>0</v>
      </c>
      <c r="AB121" s="113">
        <v>0</v>
      </c>
      <c r="AC121" s="113">
        <v>0</v>
      </c>
      <c r="AD121" s="113">
        <v>0</v>
      </c>
      <c r="AE121" s="113">
        <v>0</v>
      </c>
      <c r="AF121" s="113">
        <v>0</v>
      </c>
      <c r="AG121" s="113">
        <v>0</v>
      </c>
      <c r="AH121" s="113">
        <v>0</v>
      </c>
      <c r="AI121" s="113">
        <v>0</v>
      </c>
      <c r="AJ121" s="113">
        <v>0</v>
      </c>
      <c r="AK121" s="113">
        <f>+W121-I121</f>
        <v>0</v>
      </c>
      <c r="AL121" s="151">
        <f>AK121*6</f>
        <v>0</v>
      </c>
      <c r="AM121" s="114"/>
      <c r="AN121" s="108">
        <v>0</v>
      </c>
      <c r="AO121" s="114"/>
      <c r="AP121" s="114"/>
      <c r="AQ121" s="114"/>
      <c r="AR121" s="114"/>
    </row>
    <row r="122" spans="2:44" s="139" customFormat="1" ht="15.75" customHeight="1">
      <c r="B122" s="100" t="s">
        <v>158</v>
      </c>
      <c r="C122" s="101" t="s">
        <v>133</v>
      </c>
      <c r="D122" s="102">
        <f t="shared" si="64"/>
        <v>3.500289214046823</v>
      </c>
      <c r="E122" s="102">
        <f t="shared" si="65"/>
        <v>5.520058444816054</v>
      </c>
      <c r="F122" s="103">
        <f>SUM(F123:F126)</f>
        <v>115</v>
      </c>
      <c r="G122" s="103">
        <f>SUM(G123:G126)</f>
        <v>104</v>
      </c>
      <c r="H122" s="106">
        <f t="shared" si="63"/>
        <v>7922.38788</v>
      </c>
      <c r="I122" s="105">
        <f>SUM(I123:I126)</f>
        <v>660.19899</v>
      </c>
      <c r="J122" s="105">
        <f aca="true" t="shared" si="77" ref="J122:AL122">SUM(J123:J126)</f>
        <v>418.63459</v>
      </c>
      <c r="K122" s="105">
        <f t="shared" si="77"/>
        <v>140.1543</v>
      </c>
      <c r="L122" s="105">
        <f t="shared" si="77"/>
        <v>0</v>
      </c>
      <c r="M122" s="105">
        <f t="shared" si="77"/>
        <v>16.939999999999998</v>
      </c>
      <c r="N122" s="105">
        <f t="shared" si="77"/>
        <v>3.01774</v>
      </c>
      <c r="O122" s="105">
        <f t="shared" si="77"/>
        <v>0</v>
      </c>
      <c r="P122" s="105">
        <f t="shared" si="77"/>
        <v>1.815</v>
      </c>
      <c r="Q122" s="105">
        <f t="shared" si="77"/>
        <v>0</v>
      </c>
      <c r="R122" s="105">
        <f t="shared" si="77"/>
        <v>103.46951999999999</v>
      </c>
      <c r="S122" s="105">
        <f t="shared" si="77"/>
        <v>2.9282</v>
      </c>
      <c r="T122" s="105">
        <f t="shared" si="77"/>
        <v>0.39567</v>
      </c>
      <c r="U122" s="105">
        <f t="shared" si="77"/>
        <v>11.588170000000002</v>
      </c>
      <c r="V122" s="105">
        <f t="shared" si="77"/>
        <v>101.4101</v>
      </c>
      <c r="W122" s="105">
        <f t="shared" si="77"/>
        <v>709.3046999999999</v>
      </c>
      <c r="X122" s="105">
        <f t="shared" si="77"/>
        <v>449.7727</v>
      </c>
      <c r="Y122" s="105">
        <f t="shared" si="77"/>
        <v>150.579</v>
      </c>
      <c r="Z122" s="105">
        <f t="shared" si="77"/>
        <v>0</v>
      </c>
      <c r="AA122" s="105">
        <f t="shared" si="77"/>
        <v>18.2</v>
      </c>
      <c r="AB122" s="105">
        <f t="shared" si="77"/>
        <v>3.2422</v>
      </c>
      <c r="AC122" s="105">
        <f t="shared" si="77"/>
        <v>0</v>
      </c>
      <c r="AD122" s="105">
        <f t="shared" si="77"/>
        <v>1.9500000000000002</v>
      </c>
      <c r="AE122" s="105">
        <f t="shared" si="77"/>
        <v>0</v>
      </c>
      <c r="AF122" s="105">
        <f t="shared" si="77"/>
        <v>111.16560000000001</v>
      </c>
      <c r="AG122" s="105">
        <f t="shared" si="77"/>
        <v>3.1460000000000004</v>
      </c>
      <c r="AH122" s="105">
        <f t="shared" si="77"/>
        <v>0.42510000000000003</v>
      </c>
      <c r="AI122" s="105">
        <f t="shared" si="77"/>
        <v>12.4501</v>
      </c>
      <c r="AJ122" s="105">
        <f t="shared" si="77"/>
        <v>108.953</v>
      </c>
      <c r="AK122" s="105">
        <f t="shared" si="77"/>
        <v>49.10571000000003</v>
      </c>
      <c r="AL122" s="153">
        <f t="shared" si="77"/>
        <v>294.63426000000015</v>
      </c>
      <c r="AM122" s="157"/>
      <c r="AN122" s="156">
        <f>+AN123+AN124+AN125+AN126</f>
        <v>2874.1681550000003</v>
      </c>
      <c r="AO122" s="157"/>
      <c r="AP122" s="157"/>
      <c r="AQ122" s="157"/>
      <c r="AR122" s="157"/>
    </row>
    <row r="123" spans="2:44" s="212" customFormat="1" ht="16.5" customHeight="1">
      <c r="B123" s="213"/>
      <c r="C123" s="214" t="s">
        <v>286</v>
      </c>
      <c r="D123" s="215">
        <f t="shared" si="64"/>
        <v>3.600470510396976</v>
      </c>
      <c r="E123" s="215"/>
      <c r="F123" s="216">
        <v>49</v>
      </c>
      <c r="G123" s="216">
        <v>46</v>
      </c>
      <c r="H123" s="217"/>
      <c r="I123" s="218">
        <f t="shared" si="76"/>
        <v>305.66294</v>
      </c>
      <c r="J123" s="219">
        <f>157.409*1.21</f>
        <v>190.46489</v>
      </c>
      <c r="K123" s="210">
        <f>+SUM(L123:U123)</f>
        <v>68.74978</v>
      </c>
      <c r="L123" s="219">
        <v>0</v>
      </c>
      <c r="M123" s="219">
        <f>8.1*1.21</f>
        <v>9.801</v>
      </c>
      <c r="N123" s="219">
        <f>1.055*1.21</f>
        <v>1.2765499999999999</v>
      </c>
      <c r="O123" s="219">
        <v>0</v>
      </c>
      <c r="P123" s="219">
        <v>0</v>
      </c>
      <c r="Q123" s="219">
        <v>0</v>
      </c>
      <c r="R123" s="219">
        <f>41.649*1.21</f>
        <v>50.39529</v>
      </c>
      <c r="S123" s="219">
        <f>1.82*1.21</f>
        <v>2.2022</v>
      </c>
      <c r="T123" s="219">
        <f>0.327*1.21</f>
        <v>0.39567</v>
      </c>
      <c r="U123" s="219">
        <f>3.867*1.21</f>
        <v>4.67907</v>
      </c>
      <c r="V123" s="219">
        <f>38.387*1.21</f>
        <v>46.44827</v>
      </c>
      <c r="W123" s="211">
        <f t="shared" si="58"/>
        <v>328.3982</v>
      </c>
      <c r="X123" s="219">
        <f>157.409*1.3</f>
        <v>204.6317</v>
      </c>
      <c r="Y123" s="219">
        <f>+SUM(Z123:AI123)</f>
        <v>73.8634</v>
      </c>
      <c r="Z123" s="219">
        <v>0</v>
      </c>
      <c r="AA123" s="219">
        <f>8.1*1.3</f>
        <v>10.53</v>
      </c>
      <c r="AB123" s="219">
        <f>1.055*1.3</f>
        <v>1.3715</v>
      </c>
      <c r="AC123" s="219">
        <v>0</v>
      </c>
      <c r="AD123" s="219">
        <v>0</v>
      </c>
      <c r="AE123" s="219">
        <v>0</v>
      </c>
      <c r="AF123" s="219">
        <f>41.649*1.3</f>
        <v>54.1437</v>
      </c>
      <c r="AG123" s="219">
        <f>1.82*1.3</f>
        <v>2.366</v>
      </c>
      <c r="AH123" s="219">
        <f>0.327*1.3</f>
        <v>0.42510000000000003</v>
      </c>
      <c r="AI123" s="219">
        <f>3.867*1.3</f>
        <v>5.0271</v>
      </c>
      <c r="AJ123" s="219">
        <f>38.387*1.3</f>
        <v>49.9031</v>
      </c>
      <c r="AK123" s="219">
        <f>+W123-I123</f>
        <v>22.735259999999982</v>
      </c>
      <c r="AL123" s="151">
        <f>+AK123*6</f>
        <v>136.4115599999999</v>
      </c>
      <c r="AM123" s="220"/>
      <c r="AN123" s="221">
        <v>1573.5</v>
      </c>
      <c r="AO123" s="220"/>
      <c r="AP123" s="220"/>
      <c r="AQ123" s="220"/>
      <c r="AR123" s="220"/>
    </row>
    <row r="124" spans="2:44" s="115" customFormat="1" ht="12.75">
      <c r="B124" s="110"/>
      <c r="C124" s="175" t="s">
        <v>287</v>
      </c>
      <c r="D124" s="198"/>
      <c r="E124" s="198"/>
      <c r="F124" s="112">
        <v>21</v>
      </c>
      <c r="G124" s="112">
        <v>19</v>
      </c>
      <c r="H124" s="104"/>
      <c r="I124" s="224">
        <f t="shared" si="76"/>
        <v>106.42675999999999</v>
      </c>
      <c r="J124" s="113">
        <f>57.89*1.21</f>
        <v>70.0469</v>
      </c>
      <c r="K124" s="113">
        <f>+SUM(L124:U124)</f>
        <v>19.85368</v>
      </c>
      <c r="L124" s="113">
        <v>0</v>
      </c>
      <c r="M124" s="113">
        <v>0</v>
      </c>
      <c r="N124" s="113">
        <f>0.299*1.21</f>
        <v>0.36179</v>
      </c>
      <c r="O124" s="113">
        <v>0</v>
      </c>
      <c r="P124" s="113">
        <f>1.5*1.21</f>
        <v>1.815</v>
      </c>
      <c r="Q124" s="113">
        <v>0</v>
      </c>
      <c r="R124" s="113">
        <f>9.429*1.21</f>
        <v>11.40909</v>
      </c>
      <c r="S124" s="113">
        <f>0.3*1.21</f>
        <v>0.363</v>
      </c>
      <c r="T124" s="113">
        <v>0</v>
      </c>
      <c r="U124" s="113">
        <f>(4.58+0.3)*1.21</f>
        <v>5.9048</v>
      </c>
      <c r="V124" s="113">
        <f>13.658*1.21</f>
        <v>16.52618</v>
      </c>
      <c r="W124" s="113">
        <f>X124+Y124+AJ124</f>
        <v>114.34280000000001</v>
      </c>
      <c r="X124" s="113">
        <f>57.89*1.3</f>
        <v>75.257</v>
      </c>
      <c r="Y124" s="113">
        <f>SUM(Z124:AI124)</f>
        <v>21.330400000000004</v>
      </c>
      <c r="Z124" s="113">
        <v>0</v>
      </c>
      <c r="AA124" s="113"/>
      <c r="AB124" s="113">
        <f>0.299*1.3</f>
        <v>0.3887</v>
      </c>
      <c r="AC124" s="113">
        <v>0</v>
      </c>
      <c r="AD124" s="113">
        <f>1.5*1.3</f>
        <v>1.9500000000000002</v>
      </c>
      <c r="AE124" s="113">
        <v>0</v>
      </c>
      <c r="AF124" s="113">
        <f>9.429*1.3</f>
        <v>12.257700000000002</v>
      </c>
      <c r="AG124" s="113">
        <f>0.3*1.3</f>
        <v>0.39</v>
      </c>
      <c r="AH124" s="113">
        <v>0</v>
      </c>
      <c r="AI124" s="113">
        <f>(4.58+0.3)*1.3</f>
        <v>6.344</v>
      </c>
      <c r="AJ124" s="113">
        <f>13.658*1.3</f>
        <v>17.7554</v>
      </c>
      <c r="AK124" s="113">
        <f>W124-I124</f>
        <v>7.916040000000024</v>
      </c>
      <c r="AL124" s="113">
        <f>+AK124*6</f>
        <v>47.49624000000014</v>
      </c>
      <c r="AM124" s="114"/>
      <c r="AN124" s="108">
        <v>498.333783</v>
      </c>
      <c r="AO124" s="114"/>
      <c r="AP124" s="114"/>
      <c r="AQ124" s="114"/>
      <c r="AR124" s="114"/>
    </row>
    <row r="125" spans="2:44" s="115" customFormat="1" ht="12.75">
      <c r="B125" s="110"/>
      <c r="C125" s="175" t="s">
        <v>288</v>
      </c>
      <c r="D125" s="102"/>
      <c r="E125" s="102"/>
      <c r="F125" s="112">
        <v>20</v>
      </c>
      <c r="G125" s="112">
        <v>16</v>
      </c>
      <c r="H125" s="104"/>
      <c r="I125" s="223">
        <f t="shared" si="76"/>
        <v>105.7419</v>
      </c>
      <c r="J125" s="113">
        <f>55.58*1.21</f>
        <v>67.2518</v>
      </c>
      <c r="K125" s="113">
        <f t="shared" si="67"/>
        <v>22.268839999999997</v>
      </c>
      <c r="L125" s="113">
        <v>0</v>
      </c>
      <c r="M125" s="113">
        <f>2.7*1.21</f>
        <v>3.267</v>
      </c>
      <c r="N125" s="113">
        <v>0</v>
      </c>
      <c r="O125" s="113">
        <v>0</v>
      </c>
      <c r="P125" s="113">
        <v>0</v>
      </c>
      <c r="Q125" s="113">
        <v>0</v>
      </c>
      <c r="R125" s="113">
        <f>14.574*1.21</f>
        <v>17.634539999999998</v>
      </c>
      <c r="S125" s="113">
        <f>0.3*1.21</f>
        <v>0.363</v>
      </c>
      <c r="T125" s="113">
        <v>0</v>
      </c>
      <c r="U125" s="113">
        <f>0.83*1.21</f>
        <v>1.0043</v>
      </c>
      <c r="V125" s="113">
        <f>13.406*1.21</f>
        <v>16.22126</v>
      </c>
      <c r="W125" s="113">
        <f>X125+Y125+AJ125</f>
        <v>113.60700000000001</v>
      </c>
      <c r="X125" s="113">
        <f>55.58*1.3</f>
        <v>72.254</v>
      </c>
      <c r="Y125" s="113">
        <f>SUM(Z125:AI125)</f>
        <v>23.925200000000004</v>
      </c>
      <c r="Z125" s="113">
        <v>0</v>
      </c>
      <c r="AA125" s="113">
        <f>2.7*1.3</f>
        <v>3.5100000000000002</v>
      </c>
      <c r="AB125" s="113">
        <v>0</v>
      </c>
      <c r="AC125" s="113">
        <v>0</v>
      </c>
      <c r="AD125" s="113">
        <v>0</v>
      </c>
      <c r="AE125" s="113">
        <v>0</v>
      </c>
      <c r="AF125" s="113">
        <f>14.574*1.3</f>
        <v>18.9462</v>
      </c>
      <c r="AG125" s="113">
        <f>0.3*1.3</f>
        <v>0.39</v>
      </c>
      <c r="AH125" s="113">
        <v>0</v>
      </c>
      <c r="AI125" s="113">
        <f>0.83*1.3</f>
        <v>1.079</v>
      </c>
      <c r="AJ125" s="113">
        <f>13.406*1.3</f>
        <v>17.4278</v>
      </c>
      <c r="AK125" s="113">
        <f>W125-I125</f>
        <v>7.865100000000012</v>
      </c>
      <c r="AL125" s="113">
        <f>+AK125*6</f>
        <v>47.190600000000074</v>
      </c>
      <c r="AM125" s="114"/>
      <c r="AN125" s="108">
        <v>373.454372</v>
      </c>
      <c r="AO125" s="114"/>
      <c r="AP125" s="114"/>
      <c r="AQ125" s="114"/>
      <c r="AR125" s="114"/>
    </row>
    <row r="126" spans="2:44" s="115" customFormat="1" ht="12.75">
      <c r="B126" s="110"/>
      <c r="C126" s="175" t="s">
        <v>289</v>
      </c>
      <c r="D126" s="102"/>
      <c r="E126" s="102"/>
      <c r="F126" s="112">
        <v>25</v>
      </c>
      <c r="G126" s="112">
        <v>23</v>
      </c>
      <c r="H126" s="104"/>
      <c r="I126" s="223">
        <f t="shared" si="76"/>
        <v>142.36739</v>
      </c>
      <c r="J126" s="113">
        <f>75.1*1.21</f>
        <v>90.871</v>
      </c>
      <c r="K126" s="113">
        <f t="shared" si="67"/>
        <v>29.282</v>
      </c>
      <c r="L126" s="113">
        <v>0</v>
      </c>
      <c r="M126" s="113">
        <f>3.2*1.21</f>
        <v>3.872</v>
      </c>
      <c r="N126" s="113">
        <f>1.14*1.21</f>
        <v>1.3793999999999997</v>
      </c>
      <c r="O126" s="113">
        <v>0</v>
      </c>
      <c r="P126" s="113">
        <v>0</v>
      </c>
      <c r="Q126" s="113">
        <v>0</v>
      </c>
      <c r="R126" s="113">
        <f>19.86*1.21</f>
        <v>24.0306</v>
      </c>
      <c r="S126" s="113">
        <v>0</v>
      </c>
      <c r="T126" s="113">
        <v>0</v>
      </c>
      <c r="U126" s="113">
        <v>0</v>
      </c>
      <c r="V126" s="113">
        <f>18.359*1.21</f>
        <v>22.21439</v>
      </c>
      <c r="W126" s="113">
        <f>X126+Y126+AJ126</f>
        <v>152.9567</v>
      </c>
      <c r="X126" s="113">
        <f>75.1*1.3</f>
        <v>97.63</v>
      </c>
      <c r="Y126" s="113">
        <f>SUM(Z126:AI126)</f>
        <v>31.46</v>
      </c>
      <c r="Z126" s="113">
        <v>0</v>
      </c>
      <c r="AA126" s="113">
        <f>3.2*1.3</f>
        <v>4.16</v>
      </c>
      <c r="AB126" s="113">
        <f>1.14*1.3</f>
        <v>1.482</v>
      </c>
      <c r="AC126" s="113">
        <v>0</v>
      </c>
      <c r="AD126" s="113">
        <v>0</v>
      </c>
      <c r="AE126" s="113">
        <v>0</v>
      </c>
      <c r="AF126" s="113">
        <f>19.86*1.3</f>
        <v>25.818</v>
      </c>
      <c r="AG126" s="113">
        <v>0</v>
      </c>
      <c r="AH126" s="113">
        <v>0</v>
      </c>
      <c r="AI126" s="113">
        <v>0</v>
      </c>
      <c r="AJ126" s="113">
        <f>18.359*1.3</f>
        <v>23.8667</v>
      </c>
      <c r="AK126" s="113">
        <f>W126-I126</f>
        <v>10.589310000000012</v>
      </c>
      <c r="AL126" s="113">
        <f>+AK126*6</f>
        <v>63.53586000000007</v>
      </c>
      <c r="AM126" s="114"/>
      <c r="AN126" s="108">
        <v>428.88</v>
      </c>
      <c r="AO126" s="114"/>
      <c r="AP126" s="114"/>
      <c r="AQ126" s="114"/>
      <c r="AR126" s="114"/>
    </row>
    <row r="127" spans="2:44" s="139" customFormat="1" ht="12.75">
      <c r="B127" s="100" t="s">
        <v>158</v>
      </c>
      <c r="C127" s="101" t="s">
        <v>134</v>
      </c>
      <c r="D127" s="102">
        <f t="shared" si="64"/>
        <v>3.847905138339921</v>
      </c>
      <c r="E127" s="102">
        <f t="shared" si="65"/>
        <v>5.915411541501977</v>
      </c>
      <c r="F127" s="103">
        <f aca="true" t="shared" si="78" ref="F127:AK127">+SUM(F128:F129)</f>
        <v>55</v>
      </c>
      <c r="G127" s="103">
        <f t="shared" si="78"/>
        <v>55</v>
      </c>
      <c r="H127" s="103">
        <f t="shared" si="78"/>
        <v>0</v>
      </c>
      <c r="I127" s="105">
        <f t="shared" si="78"/>
        <v>374.14978</v>
      </c>
      <c r="J127" s="105">
        <f t="shared" si="78"/>
        <v>243.38</v>
      </c>
      <c r="K127" s="105">
        <f t="shared" si="78"/>
        <v>75.49778</v>
      </c>
      <c r="L127" s="105">
        <f t="shared" si="78"/>
        <v>0</v>
      </c>
      <c r="M127" s="105">
        <f t="shared" si="78"/>
        <v>0</v>
      </c>
      <c r="N127" s="105">
        <f t="shared" si="78"/>
        <v>0.80178</v>
      </c>
      <c r="O127" s="105">
        <f t="shared" si="78"/>
        <v>2.515</v>
      </c>
      <c r="P127" s="105">
        <f t="shared" si="78"/>
        <v>4.235</v>
      </c>
      <c r="Q127" s="105">
        <f t="shared" si="78"/>
        <v>0</v>
      </c>
      <c r="R127" s="105">
        <f t="shared" si="78"/>
        <v>61.413000000000004</v>
      </c>
      <c r="S127" s="105">
        <f t="shared" si="78"/>
        <v>3.872</v>
      </c>
      <c r="T127" s="105">
        <f t="shared" si="78"/>
        <v>0.909</v>
      </c>
      <c r="U127" s="105">
        <f t="shared" si="78"/>
        <v>1.752</v>
      </c>
      <c r="V127" s="105">
        <f t="shared" si="78"/>
        <v>55.272000000000006</v>
      </c>
      <c r="W127" s="105">
        <f t="shared" si="78"/>
        <v>402.133</v>
      </c>
      <c r="X127" s="105">
        <f t="shared" si="78"/>
        <v>261.48199999999997</v>
      </c>
      <c r="Y127" s="105">
        <f t="shared" si="78"/>
        <v>81.269</v>
      </c>
      <c r="Z127" s="105">
        <f t="shared" si="78"/>
        <v>0</v>
      </c>
      <c r="AA127" s="105">
        <f t="shared" si="78"/>
        <v>0</v>
      </c>
      <c r="AB127" s="105">
        <f t="shared" si="78"/>
        <v>1.036</v>
      </c>
      <c r="AC127" s="105">
        <f t="shared" si="78"/>
        <v>2.702</v>
      </c>
      <c r="AD127" s="105">
        <f t="shared" si="78"/>
        <v>4.55</v>
      </c>
      <c r="AE127" s="105">
        <f t="shared" si="78"/>
        <v>0</v>
      </c>
      <c r="AF127" s="105">
        <f t="shared" si="78"/>
        <v>65.98</v>
      </c>
      <c r="AG127" s="105">
        <f t="shared" si="78"/>
        <v>3.9</v>
      </c>
      <c r="AH127" s="105">
        <f t="shared" si="78"/>
        <v>0.976</v>
      </c>
      <c r="AI127" s="105">
        <f t="shared" si="78"/>
        <v>2.125</v>
      </c>
      <c r="AJ127" s="105">
        <f t="shared" si="78"/>
        <v>59.382000000000005</v>
      </c>
      <c r="AK127" s="105">
        <f t="shared" si="78"/>
        <v>27.98321999999998</v>
      </c>
      <c r="AL127" s="153">
        <f>+SUM(AL128:AL129)</f>
        <v>167.89931999999988</v>
      </c>
      <c r="AM127" s="157"/>
      <c r="AN127" s="156">
        <f>+AN128+AN129</f>
        <v>338.27</v>
      </c>
      <c r="AO127" s="157"/>
      <c r="AP127" s="157"/>
      <c r="AQ127" s="157"/>
      <c r="AR127" s="157"/>
    </row>
    <row r="128" spans="1:44" s="115" customFormat="1" ht="12.75">
      <c r="A128" s="99"/>
      <c r="B128" s="110"/>
      <c r="C128" s="170" t="s">
        <v>286</v>
      </c>
      <c r="D128" s="102"/>
      <c r="E128" s="102"/>
      <c r="F128" s="112">
        <v>45</v>
      </c>
      <c r="G128" s="112">
        <v>45</v>
      </c>
      <c r="H128" s="104"/>
      <c r="I128" s="105">
        <f aca="true" t="shared" si="79" ref="I128:I133">+SUM(J128:K128,V128)</f>
        <v>316.01378</v>
      </c>
      <c r="J128" s="113">
        <v>204.454</v>
      </c>
      <c r="K128" s="113">
        <f t="shared" si="67"/>
        <v>65.10078</v>
      </c>
      <c r="L128" s="113">
        <v>0</v>
      </c>
      <c r="M128" s="80">
        <v>0</v>
      </c>
      <c r="N128" s="113">
        <v>0.80178</v>
      </c>
      <c r="O128" s="113">
        <v>2.515</v>
      </c>
      <c r="P128" s="113">
        <v>4.235</v>
      </c>
      <c r="Q128" s="113">
        <v>0</v>
      </c>
      <c r="R128" s="113">
        <v>51.621</v>
      </c>
      <c r="S128" s="113">
        <v>3.267</v>
      </c>
      <c r="T128" s="113">
        <v>0.909</v>
      </c>
      <c r="U128" s="113">
        <f>0.687+1.065</f>
        <v>1.752</v>
      </c>
      <c r="V128" s="113">
        <v>46.459</v>
      </c>
      <c r="W128" s="106">
        <f t="shared" si="58"/>
        <v>339.674</v>
      </c>
      <c r="X128" s="113">
        <v>219.661</v>
      </c>
      <c r="Y128" s="113">
        <f t="shared" si="72"/>
        <v>70.099</v>
      </c>
      <c r="Z128" s="113">
        <v>0</v>
      </c>
      <c r="AA128" s="113">
        <v>0</v>
      </c>
      <c r="AB128" s="113">
        <v>1.036</v>
      </c>
      <c r="AC128" s="113">
        <v>2.702</v>
      </c>
      <c r="AD128" s="113">
        <v>4.55</v>
      </c>
      <c r="AE128" s="113">
        <v>0</v>
      </c>
      <c r="AF128" s="113">
        <v>55.46</v>
      </c>
      <c r="AG128" s="113">
        <v>3.51</v>
      </c>
      <c r="AH128" s="113">
        <v>0.976</v>
      </c>
      <c r="AI128" s="113">
        <f>0.721+1.144</f>
        <v>1.8649999999999998</v>
      </c>
      <c r="AJ128" s="113">
        <v>49.914</v>
      </c>
      <c r="AK128" s="113">
        <f aca="true" t="shared" si="80" ref="AK128:AK133">+W128-I128</f>
        <v>23.66021999999998</v>
      </c>
      <c r="AL128" s="151">
        <f>+AK128*6</f>
        <v>141.9613199999999</v>
      </c>
      <c r="AM128" s="114"/>
      <c r="AN128" s="108">
        <v>295.07</v>
      </c>
      <c r="AO128" s="114"/>
      <c r="AP128" s="114"/>
      <c r="AQ128" s="114"/>
      <c r="AR128" s="114"/>
    </row>
    <row r="129" spans="1:44" s="115" customFormat="1" ht="25.5">
      <c r="A129" s="99"/>
      <c r="B129" s="110"/>
      <c r="C129" s="170" t="s">
        <v>290</v>
      </c>
      <c r="D129" s="102"/>
      <c r="E129" s="102"/>
      <c r="F129" s="112">
        <v>10</v>
      </c>
      <c r="G129" s="112">
        <v>10</v>
      </c>
      <c r="H129" s="104"/>
      <c r="I129" s="105">
        <f t="shared" si="79"/>
        <v>58.136</v>
      </c>
      <c r="J129" s="113">
        <v>38.926</v>
      </c>
      <c r="K129" s="113">
        <f t="shared" si="67"/>
        <v>10.397</v>
      </c>
      <c r="L129" s="113">
        <v>0</v>
      </c>
      <c r="M129" s="113">
        <v>0</v>
      </c>
      <c r="N129" s="113">
        <v>0</v>
      </c>
      <c r="O129" s="113">
        <v>0</v>
      </c>
      <c r="P129" s="113">
        <v>0</v>
      </c>
      <c r="Q129" s="113">
        <v>0</v>
      </c>
      <c r="R129" s="113">
        <v>9.792</v>
      </c>
      <c r="S129" s="113">
        <f>0.363+0.242</f>
        <v>0.605</v>
      </c>
      <c r="T129" s="113">
        <v>0</v>
      </c>
      <c r="U129" s="113">
        <v>0</v>
      </c>
      <c r="V129" s="113">
        <v>8.813</v>
      </c>
      <c r="W129" s="106">
        <f t="shared" si="58"/>
        <v>62.459</v>
      </c>
      <c r="X129" s="113">
        <v>41.821</v>
      </c>
      <c r="Y129" s="113">
        <f t="shared" si="72"/>
        <v>11.17</v>
      </c>
      <c r="Z129" s="113">
        <v>0</v>
      </c>
      <c r="AA129" s="113">
        <v>0</v>
      </c>
      <c r="AB129" s="113">
        <v>0</v>
      </c>
      <c r="AC129" s="113">
        <v>0</v>
      </c>
      <c r="AD129" s="113">
        <v>0</v>
      </c>
      <c r="AE129" s="113">
        <v>0</v>
      </c>
      <c r="AF129" s="113">
        <v>10.52</v>
      </c>
      <c r="AG129" s="113">
        <v>0.39</v>
      </c>
      <c r="AH129" s="113">
        <v>0</v>
      </c>
      <c r="AI129" s="113">
        <v>0.26</v>
      </c>
      <c r="AJ129" s="113">
        <v>9.468</v>
      </c>
      <c r="AK129" s="113">
        <f t="shared" si="80"/>
        <v>4.323</v>
      </c>
      <c r="AL129" s="151">
        <f>+AK129*6</f>
        <v>25.938000000000002</v>
      </c>
      <c r="AM129" s="114"/>
      <c r="AN129" s="108">
        <v>43.2</v>
      </c>
      <c r="AO129" s="114"/>
      <c r="AP129" s="114"/>
      <c r="AQ129" s="114"/>
      <c r="AR129" s="114"/>
    </row>
    <row r="130" spans="1:44" s="75" customFormat="1" ht="12.75">
      <c r="A130" s="70"/>
      <c r="B130" s="71" t="s">
        <v>158</v>
      </c>
      <c r="C130" s="92" t="s">
        <v>229</v>
      </c>
      <c r="D130" s="84" t="e">
        <f t="shared" si="64"/>
        <v>#DIV/0!</v>
      </c>
      <c r="E130" s="84" t="e">
        <f t="shared" si="65"/>
        <v>#DIV/0!</v>
      </c>
      <c r="F130" s="72">
        <f>+SUM(F131:F133)</f>
        <v>0</v>
      </c>
      <c r="G130" s="72">
        <f aca="true" t="shared" si="81" ref="G130:AL130">+SUM(G131:G133)</f>
        <v>0</v>
      </c>
      <c r="H130" s="72">
        <f t="shared" si="81"/>
        <v>0</v>
      </c>
      <c r="I130" s="72">
        <f t="shared" si="81"/>
        <v>0</v>
      </c>
      <c r="J130" s="72">
        <f t="shared" si="81"/>
        <v>0</v>
      </c>
      <c r="K130" s="72">
        <f t="shared" si="81"/>
        <v>0</v>
      </c>
      <c r="L130" s="72">
        <f t="shared" si="81"/>
        <v>0</v>
      </c>
      <c r="M130" s="72">
        <f t="shared" si="81"/>
        <v>0</v>
      </c>
      <c r="N130" s="72">
        <f t="shared" si="81"/>
        <v>0</v>
      </c>
      <c r="O130" s="72">
        <f t="shared" si="81"/>
        <v>0</v>
      </c>
      <c r="P130" s="72">
        <f t="shared" si="81"/>
        <v>0</v>
      </c>
      <c r="Q130" s="72">
        <f t="shared" si="81"/>
        <v>0</v>
      </c>
      <c r="R130" s="72">
        <f t="shared" si="81"/>
        <v>0</v>
      </c>
      <c r="S130" s="72">
        <f t="shared" si="81"/>
        <v>0</v>
      </c>
      <c r="T130" s="72">
        <f t="shared" si="81"/>
        <v>0</v>
      </c>
      <c r="U130" s="72">
        <f t="shared" si="81"/>
        <v>0</v>
      </c>
      <c r="V130" s="72">
        <f t="shared" si="81"/>
        <v>0</v>
      </c>
      <c r="W130" s="72">
        <f t="shared" si="81"/>
        <v>0</v>
      </c>
      <c r="X130" s="72">
        <f t="shared" si="81"/>
        <v>0</v>
      </c>
      <c r="Y130" s="72">
        <f t="shared" si="81"/>
        <v>0</v>
      </c>
      <c r="Z130" s="72">
        <f t="shared" si="81"/>
        <v>0</v>
      </c>
      <c r="AA130" s="72">
        <f t="shared" si="81"/>
        <v>0</v>
      </c>
      <c r="AB130" s="72">
        <f t="shared" si="81"/>
        <v>0</v>
      </c>
      <c r="AC130" s="72">
        <f t="shared" si="81"/>
        <v>0</v>
      </c>
      <c r="AD130" s="72">
        <f t="shared" si="81"/>
        <v>0</v>
      </c>
      <c r="AE130" s="72">
        <f t="shared" si="81"/>
        <v>0</v>
      </c>
      <c r="AF130" s="72">
        <f t="shared" si="81"/>
        <v>0</v>
      </c>
      <c r="AG130" s="72">
        <f t="shared" si="81"/>
        <v>0</v>
      </c>
      <c r="AH130" s="72">
        <f t="shared" si="81"/>
        <v>0</v>
      </c>
      <c r="AI130" s="72">
        <f t="shared" si="81"/>
        <v>0</v>
      </c>
      <c r="AJ130" s="72">
        <f t="shared" si="81"/>
        <v>0</v>
      </c>
      <c r="AK130" s="72">
        <f t="shared" si="81"/>
        <v>0</v>
      </c>
      <c r="AL130" s="72">
        <f t="shared" si="81"/>
        <v>274.45000000000005</v>
      </c>
      <c r="AM130" s="74"/>
      <c r="AN130" s="65">
        <f>+AN131+AN132+AN133</f>
        <v>3444.0982</v>
      </c>
      <c r="AO130" s="74"/>
      <c r="AP130" s="74"/>
      <c r="AQ130" s="74"/>
      <c r="AR130" s="74"/>
    </row>
    <row r="131" spans="1:44" s="115" customFormat="1" ht="12.75">
      <c r="A131" s="99"/>
      <c r="B131" s="110"/>
      <c r="C131" s="170" t="s">
        <v>228</v>
      </c>
      <c r="D131" s="102" t="e">
        <f t="shared" si="64"/>
        <v>#DIV/0!</v>
      </c>
      <c r="E131" s="102" t="e">
        <f t="shared" si="65"/>
        <v>#DIV/0!</v>
      </c>
      <c r="F131" s="112">
        <v>0</v>
      </c>
      <c r="G131" s="112">
        <v>0</v>
      </c>
      <c r="H131" s="104">
        <f t="shared" si="63"/>
        <v>0</v>
      </c>
      <c r="I131" s="105">
        <f t="shared" si="79"/>
        <v>0</v>
      </c>
      <c r="J131" s="113">
        <v>0</v>
      </c>
      <c r="K131" s="113">
        <f t="shared" si="67"/>
        <v>0</v>
      </c>
      <c r="L131" s="113">
        <v>0</v>
      </c>
      <c r="M131" s="113">
        <v>0</v>
      </c>
      <c r="N131" s="113">
        <v>0</v>
      </c>
      <c r="O131" s="113">
        <v>0</v>
      </c>
      <c r="P131" s="113">
        <v>0</v>
      </c>
      <c r="Q131" s="113">
        <v>0</v>
      </c>
      <c r="R131" s="113">
        <v>0</v>
      </c>
      <c r="S131" s="113">
        <v>0</v>
      </c>
      <c r="T131" s="113">
        <v>0</v>
      </c>
      <c r="U131" s="113">
        <v>0</v>
      </c>
      <c r="V131" s="113">
        <v>0</v>
      </c>
      <c r="W131" s="106">
        <f t="shared" si="58"/>
        <v>0</v>
      </c>
      <c r="X131" s="113">
        <v>0</v>
      </c>
      <c r="Y131" s="113">
        <f t="shared" si="72"/>
        <v>0</v>
      </c>
      <c r="Z131" s="113">
        <v>0</v>
      </c>
      <c r="AA131" s="113">
        <v>0</v>
      </c>
      <c r="AB131" s="113">
        <v>0</v>
      </c>
      <c r="AC131" s="113">
        <v>0</v>
      </c>
      <c r="AD131" s="113">
        <v>0</v>
      </c>
      <c r="AE131" s="113">
        <v>0</v>
      </c>
      <c r="AF131" s="113">
        <v>0</v>
      </c>
      <c r="AG131" s="113">
        <v>0</v>
      </c>
      <c r="AH131" s="113">
        <v>0</v>
      </c>
      <c r="AI131" s="113">
        <v>0</v>
      </c>
      <c r="AJ131" s="113">
        <v>0</v>
      </c>
      <c r="AK131" s="113">
        <f t="shared" si="80"/>
        <v>0</v>
      </c>
      <c r="AL131" s="151">
        <v>260.16</v>
      </c>
      <c r="AM131" s="114"/>
      <c r="AN131" s="108">
        <v>2026.0982</v>
      </c>
      <c r="AO131" s="114"/>
      <c r="AP131" s="114"/>
      <c r="AQ131" s="114"/>
      <c r="AR131" s="114"/>
    </row>
    <row r="132" spans="1:44" s="115" customFormat="1" ht="12.75">
      <c r="A132" s="99"/>
      <c r="B132" s="110"/>
      <c r="C132" s="170" t="s">
        <v>308</v>
      </c>
      <c r="D132" s="102"/>
      <c r="E132" s="102"/>
      <c r="F132" s="112">
        <v>0</v>
      </c>
      <c r="G132" s="112">
        <v>0</v>
      </c>
      <c r="H132" s="104"/>
      <c r="I132" s="105">
        <f t="shared" si="79"/>
        <v>0</v>
      </c>
      <c r="J132" s="113">
        <v>0</v>
      </c>
      <c r="K132" s="113">
        <f t="shared" si="67"/>
        <v>0</v>
      </c>
      <c r="L132" s="113">
        <v>0</v>
      </c>
      <c r="M132" s="113">
        <v>0</v>
      </c>
      <c r="N132" s="113">
        <v>0</v>
      </c>
      <c r="O132" s="113">
        <v>0</v>
      </c>
      <c r="P132" s="113">
        <v>0</v>
      </c>
      <c r="Q132" s="113">
        <v>0</v>
      </c>
      <c r="R132" s="113">
        <v>0</v>
      </c>
      <c r="S132" s="113">
        <v>0</v>
      </c>
      <c r="T132" s="113">
        <v>0</v>
      </c>
      <c r="U132" s="113">
        <v>0</v>
      </c>
      <c r="V132" s="113">
        <v>0</v>
      </c>
      <c r="W132" s="106">
        <f t="shared" si="58"/>
        <v>0</v>
      </c>
      <c r="X132" s="113">
        <v>0</v>
      </c>
      <c r="Y132" s="113">
        <f t="shared" si="72"/>
        <v>0</v>
      </c>
      <c r="Z132" s="113">
        <v>0</v>
      </c>
      <c r="AA132" s="113">
        <v>0</v>
      </c>
      <c r="AB132" s="113">
        <v>0</v>
      </c>
      <c r="AC132" s="113">
        <v>0</v>
      </c>
      <c r="AD132" s="113">
        <v>0</v>
      </c>
      <c r="AE132" s="113">
        <v>0</v>
      </c>
      <c r="AF132" s="113">
        <v>0</v>
      </c>
      <c r="AG132" s="113">
        <v>0</v>
      </c>
      <c r="AH132" s="113">
        <v>0</v>
      </c>
      <c r="AI132" s="113">
        <v>0</v>
      </c>
      <c r="AJ132" s="113">
        <v>0</v>
      </c>
      <c r="AK132" s="113">
        <f t="shared" si="80"/>
        <v>0</v>
      </c>
      <c r="AL132" s="151">
        <v>14.29</v>
      </c>
      <c r="AM132" s="114"/>
      <c r="AN132" s="108">
        <v>28</v>
      </c>
      <c r="AO132" s="114"/>
      <c r="AP132" s="114"/>
      <c r="AQ132" s="114"/>
      <c r="AR132" s="114"/>
    </row>
    <row r="133" spans="1:44" s="143" customFormat="1" ht="12.75">
      <c r="A133" s="99"/>
      <c r="B133" s="110"/>
      <c r="C133" s="170" t="s">
        <v>227</v>
      </c>
      <c r="D133" s="102" t="e">
        <f t="shared" si="64"/>
        <v>#DIV/0!</v>
      </c>
      <c r="E133" s="102" t="e">
        <f t="shared" si="65"/>
        <v>#DIV/0!</v>
      </c>
      <c r="F133" s="112">
        <v>0</v>
      </c>
      <c r="G133" s="112">
        <v>0</v>
      </c>
      <c r="H133" s="104">
        <f t="shared" si="63"/>
        <v>0</v>
      </c>
      <c r="I133" s="105">
        <f t="shared" si="79"/>
        <v>0</v>
      </c>
      <c r="J133" s="113">
        <v>0</v>
      </c>
      <c r="K133" s="113">
        <f t="shared" si="67"/>
        <v>0</v>
      </c>
      <c r="L133" s="113">
        <v>0</v>
      </c>
      <c r="M133" s="113">
        <v>0</v>
      </c>
      <c r="N133" s="113">
        <v>0</v>
      </c>
      <c r="O133" s="113">
        <v>0</v>
      </c>
      <c r="P133" s="113">
        <v>0</v>
      </c>
      <c r="Q133" s="113">
        <v>0</v>
      </c>
      <c r="R133" s="113">
        <v>0</v>
      </c>
      <c r="S133" s="113">
        <v>0</v>
      </c>
      <c r="T133" s="113">
        <v>0</v>
      </c>
      <c r="U133" s="113">
        <v>0</v>
      </c>
      <c r="V133" s="113">
        <v>0</v>
      </c>
      <c r="W133" s="106">
        <f t="shared" si="58"/>
        <v>0</v>
      </c>
      <c r="X133" s="113">
        <v>0</v>
      </c>
      <c r="Y133" s="113">
        <f t="shared" si="72"/>
        <v>0</v>
      </c>
      <c r="Z133" s="113">
        <v>0</v>
      </c>
      <c r="AA133" s="113">
        <v>0</v>
      </c>
      <c r="AB133" s="113">
        <v>0</v>
      </c>
      <c r="AC133" s="113">
        <v>0</v>
      </c>
      <c r="AD133" s="113">
        <v>0</v>
      </c>
      <c r="AE133" s="113">
        <v>0</v>
      </c>
      <c r="AF133" s="113">
        <v>0</v>
      </c>
      <c r="AG133" s="113">
        <v>0</v>
      </c>
      <c r="AH133" s="113">
        <v>0</v>
      </c>
      <c r="AI133" s="113">
        <v>0</v>
      </c>
      <c r="AJ133" s="113">
        <v>0</v>
      </c>
      <c r="AK133" s="113">
        <f t="shared" si="80"/>
        <v>0</v>
      </c>
      <c r="AL133" s="151">
        <f>+AK133*8</f>
        <v>0</v>
      </c>
      <c r="AM133" s="142"/>
      <c r="AN133" s="108">
        <v>1390</v>
      </c>
      <c r="AO133" s="142"/>
      <c r="AP133" s="142"/>
      <c r="AQ133" s="142"/>
      <c r="AR133" s="142"/>
    </row>
    <row r="134" spans="1:44" s="109" customFormat="1" ht="12.75">
      <c r="A134" s="109" t="s">
        <v>240</v>
      </c>
      <c r="B134" s="100" t="s">
        <v>158</v>
      </c>
      <c r="C134" s="101" t="s">
        <v>135</v>
      </c>
      <c r="D134" s="102">
        <f t="shared" si="64"/>
        <v>3.696497751124438</v>
      </c>
      <c r="E134" s="102">
        <f t="shared" si="65"/>
        <v>6.629007496251874</v>
      </c>
      <c r="F134" s="103">
        <f>+SUM(F135:F144)</f>
        <v>277</v>
      </c>
      <c r="G134" s="103">
        <f aca="true" t="shared" si="82" ref="G134:AL134">+SUM(G135:G144)</f>
        <v>290</v>
      </c>
      <c r="H134" s="103">
        <f t="shared" si="82"/>
        <v>25983.768</v>
      </c>
      <c r="I134" s="105">
        <f t="shared" si="82"/>
        <v>2210.774</v>
      </c>
      <c r="J134" s="105">
        <f t="shared" si="82"/>
        <v>1232.7820000000002</v>
      </c>
      <c r="K134" s="105">
        <f t="shared" si="82"/>
        <v>658.7189999999999</v>
      </c>
      <c r="L134" s="105">
        <f t="shared" si="82"/>
        <v>18.005</v>
      </c>
      <c r="M134" s="105">
        <f t="shared" si="82"/>
        <v>48.02</v>
      </c>
      <c r="N134" s="105">
        <f t="shared" si="82"/>
        <v>22.894</v>
      </c>
      <c r="O134" s="105">
        <f t="shared" si="82"/>
        <v>148.07</v>
      </c>
      <c r="P134" s="105">
        <f t="shared" si="82"/>
        <v>0</v>
      </c>
      <c r="Q134" s="105">
        <f t="shared" si="82"/>
        <v>0</v>
      </c>
      <c r="R134" s="105">
        <f t="shared" si="82"/>
        <v>294.46</v>
      </c>
      <c r="S134" s="105">
        <f t="shared" si="82"/>
        <v>8.950000000000001</v>
      </c>
      <c r="T134" s="105">
        <f t="shared" si="82"/>
        <v>89.67</v>
      </c>
      <c r="U134" s="105">
        <f t="shared" si="82"/>
        <v>28.65</v>
      </c>
      <c r="V134" s="105">
        <f t="shared" si="82"/>
        <v>319.273</v>
      </c>
      <c r="W134" s="105">
        <f t="shared" si="82"/>
        <v>2330.8080000000004</v>
      </c>
      <c r="X134" s="105">
        <f t="shared" si="82"/>
        <v>1280.6259999999997</v>
      </c>
      <c r="Y134" s="105">
        <f t="shared" si="82"/>
        <v>704.4169999999999</v>
      </c>
      <c r="Z134" s="105">
        <f t="shared" si="82"/>
        <v>19.15</v>
      </c>
      <c r="AA134" s="105">
        <f t="shared" si="82"/>
        <v>49.173</v>
      </c>
      <c r="AB134" s="105">
        <f t="shared" si="82"/>
        <v>24.583</v>
      </c>
      <c r="AC134" s="105">
        <f t="shared" si="82"/>
        <v>159.07999999999998</v>
      </c>
      <c r="AD134" s="105">
        <f t="shared" si="82"/>
        <v>0</v>
      </c>
      <c r="AE134" s="105">
        <f t="shared" si="82"/>
        <v>0</v>
      </c>
      <c r="AF134" s="105">
        <f t="shared" si="82"/>
        <v>315.76099999999997</v>
      </c>
      <c r="AG134" s="105">
        <f t="shared" si="82"/>
        <v>9.580000000000002</v>
      </c>
      <c r="AH134" s="105">
        <f t="shared" si="82"/>
        <v>96.34</v>
      </c>
      <c r="AI134" s="105">
        <f t="shared" si="82"/>
        <v>30.749999999999993</v>
      </c>
      <c r="AJ134" s="105">
        <f t="shared" si="82"/>
        <v>345.765</v>
      </c>
      <c r="AK134" s="105">
        <f t="shared" si="82"/>
        <v>120.03400000000013</v>
      </c>
      <c r="AL134" s="153">
        <f t="shared" si="82"/>
        <v>977.062000000001</v>
      </c>
      <c r="AM134" s="107"/>
      <c r="AN134" s="169">
        <f>SUM(AN135:AN144)</f>
        <v>3898.96088</v>
      </c>
      <c r="AO134" s="107"/>
      <c r="AP134" s="107"/>
      <c r="AQ134" s="107"/>
      <c r="AR134" s="107"/>
    </row>
    <row r="135" spans="1:44" s="143" customFormat="1" ht="12.75">
      <c r="A135" s="99"/>
      <c r="B135" s="110"/>
      <c r="C135" s="170" t="s">
        <v>276</v>
      </c>
      <c r="D135" s="102">
        <f t="shared" si="64"/>
        <v>3.8577075098814233</v>
      </c>
      <c r="E135" s="102">
        <f t="shared" si="65"/>
        <v>6.401581027667984</v>
      </c>
      <c r="F135" s="112">
        <v>46</v>
      </c>
      <c r="G135" s="112">
        <v>44</v>
      </c>
      <c r="H135" s="104">
        <f t="shared" si="63"/>
        <v>3887.0399999999995</v>
      </c>
      <c r="I135" s="105">
        <f aca="true" t="shared" si="83" ref="I135:I144">+SUM(J135:K135,V135)</f>
        <v>323.91999999999996</v>
      </c>
      <c r="J135" s="113">
        <v>195.2</v>
      </c>
      <c r="K135" s="113">
        <f t="shared" si="67"/>
        <v>78.96</v>
      </c>
      <c r="L135" s="113">
        <v>0</v>
      </c>
      <c r="M135" s="113">
        <v>9.92</v>
      </c>
      <c r="N135" s="113">
        <v>5.06</v>
      </c>
      <c r="O135" s="113">
        <v>6.9</v>
      </c>
      <c r="P135" s="113">
        <v>0</v>
      </c>
      <c r="Q135" s="113">
        <v>0</v>
      </c>
      <c r="R135" s="113">
        <v>51.03</v>
      </c>
      <c r="S135" s="113">
        <v>1.82</v>
      </c>
      <c r="T135" s="113">
        <v>0.98</v>
      </c>
      <c r="U135" s="113">
        <v>3.25</v>
      </c>
      <c r="V135" s="113">
        <v>49.76</v>
      </c>
      <c r="W135" s="106">
        <f t="shared" si="58"/>
        <v>348.01</v>
      </c>
      <c r="X135" s="113">
        <v>209.72</v>
      </c>
      <c r="Y135" s="113">
        <f t="shared" si="72"/>
        <v>84.83</v>
      </c>
      <c r="Z135" s="113">
        <v>0</v>
      </c>
      <c r="AA135" s="113">
        <v>10.66</v>
      </c>
      <c r="AB135" s="113">
        <v>5.44</v>
      </c>
      <c r="AC135" s="113">
        <v>7.41</v>
      </c>
      <c r="AD135" s="113">
        <v>0</v>
      </c>
      <c r="AE135" s="113">
        <v>0</v>
      </c>
      <c r="AF135" s="113">
        <v>54.83</v>
      </c>
      <c r="AG135" s="113">
        <v>1.95</v>
      </c>
      <c r="AH135" s="113">
        <v>1.05</v>
      </c>
      <c r="AI135" s="113">
        <v>3.49</v>
      </c>
      <c r="AJ135" s="113">
        <v>53.46</v>
      </c>
      <c r="AK135" s="113">
        <f aca="true" t="shared" si="84" ref="AK135:AK144">+W135-I135</f>
        <v>24.090000000000032</v>
      </c>
      <c r="AL135" s="151">
        <f>+AK135*6</f>
        <v>144.5400000000002</v>
      </c>
      <c r="AM135" s="142"/>
      <c r="AN135" s="108">
        <v>941.488543</v>
      </c>
      <c r="AO135" s="142"/>
      <c r="AP135" s="142"/>
      <c r="AQ135" s="142"/>
      <c r="AR135" s="142"/>
    </row>
    <row r="136" spans="1:44" s="143" customFormat="1" ht="12.75">
      <c r="A136" s="99"/>
      <c r="B136" s="110"/>
      <c r="C136" s="170" t="s">
        <v>348</v>
      </c>
      <c r="D136" s="102">
        <f t="shared" si="64"/>
        <v>1.493167701863354</v>
      </c>
      <c r="E136" s="102"/>
      <c r="F136" s="112"/>
      <c r="G136" s="112">
        <v>7</v>
      </c>
      <c r="H136" s="104"/>
      <c r="I136" s="105">
        <f t="shared" si="83"/>
        <v>45.46</v>
      </c>
      <c r="J136" s="113">
        <v>12.02</v>
      </c>
      <c r="K136" s="113">
        <f t="shared" si="67"/>
        <v>29.2</v>
      </c>
      <c r="L136" s="113">
        <v>6.65</v>
      </c>
      <c r="M136" s="113">
        <v>0.76</v>
      </c>
      <c r="N136" s="113"/>
      <c r="O136" s="113"/>
      <c r="P136" s="113"/>
      <c r="Q136" s="113"/>
      <c r="R136" s="113"/>
      <c r="S136" s="113"/>
      <c r="T136" s="113"/>
      <c r="U136" s="113">
        <v>21.79</v>
      </c>
      <c r="V136" s="113">
        <v>4.24</v>
      </c>
      <c r="W136" s="106">
        <f t="shared" si="58"/>
        <v>49.03</v>
      </c>
      <c r="X136" s="113">
        <v>12.92</v>
      </c>
      <c r="Y136" s="113">
        <f t="shared" si="72"/>
        <v>31.55</v>
      </c>
      <c r="Z136" s="113">
        <v>7.32</v>
      </c>
      <c r="AA136" s="113">
        <v>0.82</v>
      </c>
      <c r="AB136" s="113"/>
      <c r="AC136" s="113"/>
      <c r="AD136" s="113"/>
      <c r="AE136" s="113"/>
      <c r="AF136" s="113"/>
      <c r="AG136" s="113"/>
      <c r="AH136" s="113"/>
      <c r="AI136" s="113">
        <v>23.41</v>
      </c>
      <c r="AJ136" s="113">
        <v>4.56</v>
      </c>
      <c r="AK136" s="113">
        <f t="shared" si="84"/>
        <v>3.5700000000000003</v>
      </c>
      <c r="AL136" s="151">
        <f>+AK136*6</f>
        <v>21.42</v>
      </c>
      <c r="AM136" s="142"/>
      <c r="AN136" s="108"/>
      <c r="AO136" s="142"/>
      <c r="AP136" s="142"/>
      <c r="AQ136" s="142"/>
      <c r="AR136" s="142"/>
    </row>
    <row r="137" spans="1:44" s="143" customFormat="1" ht="12.75">
      <c r="A137" s="99"/>
      <c r="B137" s="110"/>
      <c r="C137" s="170" t="s">
        <v>277</v>
      </c>
      <c r="D137" s="102">
        <f t="shared" si="64"/>
        <v>3.4527173913043483</v>
      </c>
      <c r="E137" s="102">
        <f t="shared" si="65"/>
        <v>5.864673913043479</v>
      </c>
      <c r="F137" s="112">
        <v>16</v>
      </c>
      <c r="G137" s="112">
        <v>16</v>
      </c>
      <c r="H137" s="104">
        <f t="shared" si="63"/>
        <v>1294.92</v>
      </c>
      <c r="I137" s="105">
        <f t="shared" si="83"/>
        <v>107.91</v>
      </c>
      <c r="J137" s="113">
        <v>63.53</v>
      </c>
      <c r="K137" s="113">
        <f t="shared" si="67"/>
        <v>22.95</v>
      </c>
      <c r="L137" s="113">
        <v>0</v>
      </c>
      <c r="M137" s="113">
        <v>2.91</v>
      </c>
      <c r="N137" s="113">
        <v>1.01</v>
      </c>
      <c r="O137" s="113">
        <v>0</v>
      </c>
      <c r="P137" s="113">
        <v>0</v>
      </c>
      <c r="Q137" s="113">
        <v>0</v>
      </c>
      <c r="R137" s="113">
        <v>16.48</v>
      </c>
      <c r="S137" s="113">
        <v>0.73</v>
      </c>
      <c r="T137" s="113">
        <v>0</v>
      </c>
      <c r="U137" s="113">
        <v>1.82</v>
      </c>
      <c r="V137" s="113">
        <v>21.43</v>
      </c>
      <c r="W137" s="106">
        <f t="shared" si="58"/>
        <v>114.31</v>
      </c>
      <c r="X137" s="113">
        <v>66.64</v>
      </c>
      <c r="Y137" s="113">
        <f t="shared" si="72"/>
        <v>24.64</v>
      </c>
      <c r="Z137" s="113">
        <v>0</v>
      </c>
      <c r="AA137" s="113">
        <v>3.12</v>
      </c>
      <c r="AB137" s="113">
        <v>1.08</v>
      </c>
      <c r="AC137" s="113">
        <v>0</v>
      </c>
      <c r="AD137" s="113">
        <v>0</v>
      </c>
      <c r="AE137" s="113">
        <v>0</v>
      </c>
      <c r="AF137" s="113">
        <v>17.71</v>
      </c>
      <c r="AG137" s="113">
        <v>0.78</v>
      </c>
      <c r="AH137" s="113">
        <v>0</v>
      </c>
      <c r="AI137" s="113">
        <v>1.95</v>
      </c>
      <c r="AJ137" s="113">
        <v>23.03</v>
      </c>
      <c r="AK137" s="113">
        <f t="shared" si="84"/>
        <v>6.400000000000006</v>
      </c>
      <c r="AL137" s="151">
        <f>+AK137*6</f>
        <v>38.400000000000034</v>
      </c>
      <c r="AM137" s="142"/>
      <c r="AN137" s="108">
        <v>372.682673</v>
      </c>
      <c r="AO137" s="142"/>
      <c r="AP137" s="142"/>
      <c r="AQ137" s="142"/>
      <c r="AR137" s="142"/>
    </row>
    <row r="138" spans="1:44" s="143" customFormat="1" ht="12.75">
      <c r="A138" s="99"/>
      <c r="B138" s="110"/>
      <c r="C138" s="170" t="s">
        <v>278</v>
      </c>
      <c r="D138" s="102">
        <f t="shared" si="64"/>
        <v>3.0957349896480335</v>
      </c>
      <c r="E138" s="102">
        <f t="shared" si="65"/>
        <v>4.839917184265011</v>
      </c>
      <c r="F138" s="112">
        <v>21</v>
      </c>
      <c r="G138" s="112">
        <v>21</v>
      </c>
      <c r="H138" s="104">
        <f t="shared" si="63"/>
        <v>1402.608</v>
      </c>
      <c r="I138" s="105">
        <f t="shared" si="83"/>
        <v>116.884</v>
      </c>
      <c r="J138" s="113">
        <v>74.762</v>
      </c>
      <c r="K138" s="113">
        <f t="shared" si="67"/>
        <v>23.889</v>
      </c>
      <c r="L138" s="113">
        <v>0.345</v>
      </c>
      <c r="M138" s="113">
        <v>3.45</v>
      </c>
      <c r="N138" s="113">
        <v>0.364</v>
      </c>
      <c r="O138" s="113">
        <v>0</v>
      </c>
      <c r="P138" s="113">
        <v>0</v>
      </c>
      <c r="Q138" s="113">
        <v>0</v>
      </c>
      <c r="R138" s="113">
        <v>19.73</v>
      </c>
      <c r="S138" s="113">
        <v>0</v>
      </c>
      <c r="T138" s="113">
        <v>0</v>
      </c>
      <c r="U138" s="113">
        <v>0</v>
      </c>
      <c r="V138" s="113">
        <v>18.233</v>
      </c>
      <c r="W138" s="106">
        <f t="shared" si="58"/>
        <v>123.698</v>
      </c>
      <c r="X138" s="113">
        <v>79.146</v>
      </c>
      <c r="Y138" s="113">
        <f t="shared" si="72"/>
        <v>25.256999999999998</v>
      </c>
      <c r="Z138" s="113">
        <v>0</v>
      </c>
      <c r="AA138" s="113">
        <v>3.993</v>
      </c>
      <c r="AB138" s="113">
        <v>0.383</v>
      </c>
      <c r="AC138" s="113">
        <v>0</v>
      </c>
      <c r="AD138" s="113">
        <v>0</v>
      </c>
      <c r="AE138" s="113">
        <v>0</v>
      </c>
      <c r="AF138" s="113">
        <v>20.881</v>
      </c>
      <c r="AG138" s="113">
        <v>0</v>
      </c>
      <c r="AH138" s="113">
        <v>0</v>
      </c>
      <c r="AI138" s="113">
        <v>0</v>
      </c>
      <c r="AJ138" s="113">
        <v>19.295</v>
      </c>
      <c r="AK138" s="113">
        <f t="shared" si="84"/>
        <v>6.813999999999993</v>
      </c>
      <c r="AL138" s="151">
        <f>+AK138*8</f>
        <v>54.511999999999944</v>
      </c>
      <c r="AM138" s="142"/>
      <c r="AN138" s="108">
        <v>23.5</v>
      </c>
      <c r="AO138" s="142"/>
      <c r="AP138" s="142"/>
      <c r="AQ138" s="142"/>
      <c r="AR138" s="142"/>
    </row>
    <row r="139" spans="1:44" s="143" customFormat="1" ht="12.75">
      <c r="A139" s="99"/>
      <c r="B139" s="110"/>
      <c r="C139" s="170" t="s">
        <v>279</v>
      </c>
      <c r="D139" s="102">
        <f t="shared" si="64"/>
        <v>3.3525362318840584</v>
      </c>
      <c r="E139" s="102">
        <f t="shared" si="65"/>
        <v>5.283695652173914</v>
      </c>
      <c r="F139" s="112">
        <v>25</v>
      </c>
      <c r="G139" s="112">
        <v>24</v>
      </c>
      <c r="H139" s="104">
        <f t="shared" si="63"/>
        <v>1749.96</v>
      </c>
      <c r="I139" s="105">
        <f t="shared" si="83"/>
        <v>145.83</v>
      </c>
      <c r="J139" s="113">
        <v>92.53</v>
      </c>
      <c r="K139" s="113">
        <f t="shared" si="67"/>
        <v>30.73</v>
      </c>
      <c r="L139" s="113">
        <v>0</v>
      </c>
      <c r="M139" s="113">
        <v>3.63</v>
      </c>
      <c r="N139" s="113">
        <v>1.96</v>
      </c>
      <c r="O139" s="113">
        <v>0</v>
      </c>
      <c r="P139" s="113">
        <v>0</v>
      </c>
      <c r="Q139" s="113">
        <v>0</v>
      </c>
      <c r="R139" s="113">
        <v>24.53</v>
      </c>
      <c r="S139" s="113">
        <v>0</v>
      </c>
      <c r="T139" s="113">
        <v>0</v>
      </c>
      <c r="U139" s="113">
        <v>0.61</v>
      </c>
      <c r="V139" s="113">
        <v>22.57</v>
      </c>
      <c r="W139" s="106">
        <f t="shared" si="58"/>
        <v>156.66</v>
      </c>
      <c r="X139" s="113">
        <v>99.41</v>
      </c>
      <c r="Y139" s="113">
        <f t="shared" si="72"/>
        <v>33</v>
      </c>
      <c r="Z139" s="113">
        <v>0</v>
      </c>
      <c r="AA139" s="113">
        <v>3.9</v>
      </c>
      <c r="AB139" s="113">
        <v>2.1</v>
      </c>
      <c r="AC139" s="113">
        <v>0</v>
      </c>
      <c r="AD139" s="113">
        <v>0</v>
      </c>
      <c r="AE139" s="113">
        <v>0</v>
      </c>
      <c r="AF139" s="113">
        <v>26.35</v>
      </c>
      <c r="AG139" s="113">
        <v>0</v>
      </c>
      <c r="AH139" s="113">
        <v>0</v>
      </c>
      <c r="AI139" s="113">
        <v>0.65</v>
      </c>
      <c r="AJ139" s="113">
        <v>24.25</v>
      </c>
      <c r="AK139" s="113">
        <f t="shared" si="84"/>
        <v>10.829999999999984</v>
      </c>
      <c r="AL139" s="151">
        <f>+AK139*6</f>
        <v>64.9799999999999</v>
      </c>
      <c r="AM139" s="142"/>
      <c r="AN139" s="108">
        <v>287.2</v>
      </c>
      <c r="AO139" s="142"/>
      <c r="AP139" s="142"/>
      <c r="AQ139" s="142"/>
      <c r="AR139" s="142"/>
    </row>
    <row r="140" spans="1:44" s="143" customFormat="1" ht="12.75">
      <c r="A140" s="99"/>
      <c r="B140" s="110"/>
      <c r="C140" s="170" t="s">
        <v>280</v>
      </c>
      <c r="D140" s="102">
        <f t="shared" si="64"/>
        <v>3.4221739130434785</v>
      </c>
      <c r="E140" s="102">
        <f t="shared" si="65"/>
        <v>5.460434782608696</v>
      </c>
      <c r="F140" s="112">
        <v>21</v>
      </c>
      <c r="G140" s="112">
        <v>20</v>
      </c>
      <c r="H140" s="104">
        <f t="shared" si="63"/>
        <v>1507.08</v>
      </c>
      <c r="I140" s="105">
        <f>+SUM(J140:K140,V140)</f>
        <v>125.59</v>
      </c>
      <c r="J140" s="113">
        <v>78.71</v>
      </c>
      <c r="K140" s="113">
        <f t="shared" si="67"/>
        <v>27.09</v>
      </c>
      <c r="L140" s="113">
        <v>0</v>
      </c>
      <c r="M140" s="113">
        <v>3.75</v>
      </c>
      <c r="N140" s="113">
        <v>1.73</v>
      </c>
      <c r="O140" s="113">
        <v>0</v>
      </c>
      <c r="P140" s="113">
        <v>0</v>
      </c>
      <c r="Q140" s="113">
        <v>0</v>
      </c>
      <c r="R140" s="113">
        <v>21.13</v>
      </c>
      <c r="S140" s="113">
        <v>0.36</v>
      </c>
      <c r="T140" s="113">
        <v>0</v>
      </c>
      <c r="U140" s="113">
        <v>0.12</v>
      </c>
      <c r="V140" s="113">
        <v>19.79</v>
      </c>
      <c r="W140" s="106">
        <f t="shared" si="58"/>
        <v>138.75</v>
      </c>
      <c r="X140" s="113">
        <v>85.01</v>
      </c>
      <c r="Y140" s="113">
        <f t="shared" si="72"/>
        <v>29.26</v>
      </c>
      <c r="Z140" s="113">
        <v>0</v>
      </c>
      <c r="AA140" s="113">
        <v>4.03</v>
      </c>
      <c r="AB140" s="113">
        <v>1.86</v>
      </c>
      <c r="AC140" s="113">
        <v>0</v>
      </c>
      <c r="AD140" s="113">
        <v>0</v>
      </c>
      <c r="AE140" s="113">
        <v>0</v>
      </c>
      <c r="AF140" s="113">
        <v>22.85</v>
      </c>
      <c r="AG140" s="113">
        <v>0.39</v>
      </c>
      <c r="AH140" s="113">
        <v>0</v>
      </c>
      <c r="AI140" s="113">
        <v>0.13</v>
      </c>
      <c r="AJ140" s="113">
        <v>24.48</v>
      </c>
      <c r="AK140" s="113">
        <f t="shared" si="84"/>
        <v>13.159999999999997</v>
      </c>
      <c r="AL140" s="151">
        <f>+AK140*6</f>
        <v>78.95999999999998</v>
      </c>
      <c r="AM140" s="142"/>
      <c r="AN140" s="108">
        <v>201</v>
      </c>
      <c r="AO140" s="142"/>
      <c r="AP140" s="142"/>
      <c r="AQ140" s="142"/>
      <c r="AR140" s="142"/>
    </row>
    <row r="141" spans="1:44" s="143" customFormat="1" ht="12.75">
      <c r="A141" s="99"/>
      <c r="B141" s="110"/>
      <c r="C141" s="170" t="s">
        <v>281</v>
      </c>
      <c r="D141" s="102">
        <f t="shared" si="64"/>
        <v>3.9873641304347833</v>
      </c>
      <c r="E141" s="102">
        <f t="shared" si="65"/>
        <v>7.97710597826087</v>
      </c>
      <c r="F141" s="112">
        <v>129</v>
      </c>
      <c r="G141" s="112">
        <v>128</v>
      </c>
      <c r="H141" s="104">
        <f t="shared" si="63"/>
        <v>14090.76</v>
      </c>
      <c r="I141" s="105">
        <f t="shared" si="83"/>
        <v>1174.23</v>
      </c>
      <c r="J141" s="113">
        <v>586.94</v>
      </c>
      <c r="K141" s="113">
        <f t="shared" si="67"/>
        <v>428.42</v>
      </c>
      <c r="L141" s="113">
        <v>11.01</v>
      </c>
      <c r="M141" s="113">
        <v>17.67</v>
      </c>
      <c r="N141" s="113">
        <v>12.77</v>
      </c>
      <c r="O141" s="113">
        <v>141.17</v>
      </c>
      <c r="P141" s="113">
        <v>0</v>
      </c>
      <c r="Q141" s="113">
        <v>0</v>
      </c>
      <c r="R141" s="113">
        <v>150.89</v>
      </c>
      <c r="S141" s="113">
        <v>5.74</v>
      </c>
      <c r="T141" s="113">
        <v>88.69</v>
      </c>
      <c r="U141" s="113">
        <v>0.48</v>
      </c>
      <c r="V141" s="113">
        <v>158.87</v>
      </c>
      <c r="W141" s="106">
        <f t="shared" si="58"/>
        <v>1261.5700000000002</v>
      </c>
      <c r="X141" s="113">
        <v>630.6</v>
      </c>
      <c r="Y141" s="113">
        <f t="shared" si="72"/>
        <v>460.29</v>
      </c>
      <c r="Z141" s="113">
        <v>11.83</v>
      </c>
      <c r="AA141" s="113">
        <v>18.98</v>
      </c>
      <c r="AB141" s="113">
        <v>13.72</v>
      </c>
      <c r="AC141" s="113">
        <v>151.67</v>
      </c>
      <c r="AD141" s="113">
        <v>0</v>
      </c>
      <c r="AE141" s="113">
        <v>0</v>
      </c>
      <c r="AF141" s="113">
        <v>162.12</v>
      </c>
      <c r="AG141" s="113">
        <v>6.16</v>
      </c>
      <c r="AH141" s="113">
        <v>95.29</v>
      </c>
      <c r="AI141" s="113">
        <v>0.52</v>
      </c>
      <c r="AJ141" s="113">
        <v>170.68</v>
      </c>
      <c r="AK141" s="113">
        <f t="shared" si="84"/>
        <v>87.34000000000015</v>
      </c>
      <c r="AL141" s="151">
        <f>+AK141*6</f>
        <v>524.0400000000009</v>
      </c>
      <c r="AM141" s="142"/>
      <c r="AN141" s="108">
        <v>1934.926756</v>
      </c>
      <c r="AO141" s="142"/>
      <c r="AP141" s="142"/>
      <c r="AQ141" s="142"/>
      <c r="AR141" s="142"/>
    </row>
    <row r="142" spans="1:44" s="143" customFormat="1" ht="12.75">
      <c r="A142" s="99"/>
      <c r="B142" s="110"/>
      <c r="C142" s="170" t="s">
        <v>282</v>
      </c>
      <c r="D142" s="102">
        <f t="shared" si="64"/>
        <v>2.664130434782609</v>
      </c>
      <c r="E142" s="102">
        <f t="shared" si="65"/>
        <v>3.66304347826087</v>
      </c>
      <c r="F142" s="112">
        <v>10</v>
      </c>
      <c r="G142" s="112">
        <v>8</v>
      </c>
      <c r="H142" s="104">
        <f t="shared" si="63"/>
        <v>404.40000000000003</v>
      </c>
      <c r="I142" s="105">
        <f t="shared" si="83"/>
        <v>33.7</v>
      </c>
      <c r="J142" s="113">
        <v>24.51</v>
      </c>
      <c r="K142" s="113">
        <f t="shared" si="67"/>
        <v>3.43</v>
      </c>
      <c r="L142" s="113">
        <v>0</v>
      </c>
      <c r="M142" s="113">
        <v>0.73</v>
      </c>
      <c r="N142" s="113">
        <v>0</v>
      </c>
      <c r="O142" s="113">
        <v>0</v>
      </c>
      <c r="P142" s="113">
        <v>0</v>
      </c>
      <c r="Q142" s="113">
        <v>0</v>
      </c>
      <c r="R142" s="113">
        <v>2.7</v>
      </c>
      <c r="S142" s="113">
        <v>0</v>
      </c>
      <c r="T142" s="113">
        <v>0</v>
      </c>
      <c r="U142" s="113">
        <v>0</v>
      </c>
      <c r="V142" s="113">
        <v>5.76</v>
      </c>
      <c r="W142" s="106">
        <f t="shared" si="58"/>
        <v>36.21</v>
      </c>
      <c r="X142" s="113">
        <v>26.34</v>
      </c>
      <c r="Y142" s="113">
        <f t="shared" si="72"/>
        <v>3.6799999999999997</v>
      </c>
      <c r="Z142" s="113">
        <v>0</v>
      </c>
      <c r="AA142" s="113">
        <v>0.78</v>
      </c>
      <c r="AB142" s="113">
        <v>0</v>
      </c>
      <c r="AC142" s="113">
        <v>0</v>
      </c>
      <c r="AD142" s="113">
        <v>0</v>
      </c>
      <c r="AE142" s="113">
        <v>0</v>
      </c>
      <c r="AF142" s="113">
        <v>2.9</v>
      </c>
      <c r="AG142" s="113">
        <v>0</v>
      </c>
      <c r="AH142" s="113">
        <v>0</v>
      </c>
      <c r="AI142" s="113">
        <v>0</v>
      </c>
      <c r="AJ142" s="113">
        <v>6.19</v>
      </c>
      <c r="AK142" s="113">
        <f t="shared" si="84"/>
        <v>2.509999999999998</v>
      </c>
      <c r="AL142" s="151">
        <f>+AK142*6</f>
        <v>15.059999999999988</v>
      </c>
      <c r="AM142" s="142"/>
      <c r="AN142" s="108">
        <v>40.828693</v>
      </c>
      <c r="AO142" s="142"/>
      <c r="AP142" s="142"/>
      <c r="AQ142" s="142"/>
      <c r="AR142" s="142"/>
    </row>
    <row r="143" spans="1:44" s="143" customFormat="1" ht="12.75">
      <c r="A143" s="99"/>
      <c r="B143" s="110"/>
      <c r="C143" s="304" t="s">
        <v>283</v>
      </c>
      <c r="D143" s="102">
        <f t="shared" si="64"/>
        <v>4.7959866220735785</v>
      </c>
      <c r="E143" s="102">
        <f t="shared" si="65"/>
        <v>6.172575250836121</v>
      </c>
      <c r="F143" s="78">
        <v>0</v>
      </c>
      <c r="G143" s="112">
        <v>13</v>
      </c>
      <c r="H143" s="104">
        <f t="shared" si="63"/>
        <v>1107.3600000000001</v>
      </c>
      <c r="I143" s="105">
        <f t="shared" si="83"/>
        <v>92.28</v>
      </c>
      <c r="J143" s="113">
        <v>71.7</v>
      </c>
      <c r="K143" s="113">
        <f>+SUM(L143:U143)</f>
        <v>10.04</v>
      </c>
      <c r="L143" s="113">
        <v>0</v>
      </c>
      <c r="M143" s="113">
        <v>3.63</v>
      </c>
      <c r="N143" s="113">
        <v>0</v>
      </c>
      <c r="O143" s="113">
        <v>0</v>
      </c>
      <c r="P143" s="113">
        <v>0</v>
      </c>
      <c r="Q143" s="113">
        <v>0</v>
      </c>
      <c r="R143" s="113">
        <v>5.91</v>
      </c>
      <c r="S143" s="113">
        <v>0.3</v>
      </c>
      <c r="T143" s="113">
        <v>0</v>
      </c>
      <c r="U143" s="113">
        <v>0.2</v>
      </c>
      <c r="V143" s="113">
        <v>10.54</v>
      </c>
      <c r="W143" s="106">
        <f t="shared" si="58"/>
        <v>54.94</v>
      </c>
      <c r="X143" s="113">
        <v>36</v>
      </c>
      <c r="Y143" s="113">
        <f t="shared" si="72"/>
        <v>7.61</v>
      </c>
      <c r="Z143" s="113">
        <v>0</v>
      </c>
      <c r="AA143" s="113">
        <v>1.2</v>
      </c>
      <c r="AB143" s="113">
        <v>0</v>
      </c>
      <c r="AC143" s="113">
        <v>0</v>
      </c>
      <c r="AD143" s="113">
        <v>0</v>
      </c>
      <c r="AE143" s="113">
        <v>0</v>
      </c>
      <c r="AF143" s="113">
        <v>5.91</v>
      </c>
      <c r="AG143" s="113">
        <v>0.3</v>
      </c>
      <c r="AH143" s="113">
        <v>0</v>
      </c>
      <c r="AI143" s="113">
        <v>0.2</v>
      </c>
      <c r="AJ143" s="113">
        <v>11.33</v>
      </c>
      <c r="AK143" s="113">
        <f t="shared" si="84"/>
        <v>-37.34</v>
      </c>
      <c r="AL143" s="151">
        <v>19.19</v>
      </c>
      <c r="AM143" s="142"/>
      <c r="AN143" s="108">
        <v>97.334215</v>
      </c>
      <c r="AO143" s="142"/>
      <c r="AP143" s="142"/>
      <c r="AQ143" s="142"/>
      <c r="AR143" s="142"/>
    </row>
    <row r="144" spans="1:44" s="143" customFormat="1" ht="12.75">
      <c r="A144" s="99"/>
      <c r="B144" s="110"/>
      <c r="C144" s="170" t="s">
        <v>284</v>
      </c>
      <c r="D144" s="102">
        <f t="shared" si="64"/>
        <v>3.176811594202899</v>
      </c>
      <c r="E144" s="102">
        <f t="shared" si="65"/>
        <v>4.344927536231884</v>
      </c>
      <c r="F144" s="112">
        <v>9</v>
      </c>
      <c r="G144" s="112">
        <v>9</v>
      </c>
      <c r="H144" s="104">
        <f t="shared" si="63"/>
        <v>539.64</v>
      </c>
      <c r="I144" s="105">
        <f t="shared" si="83"/>
        <v>44.97</v>
      </c>
      <c r="J144" s="113">
        <v>32.88</v>
      </c>
      <c r="K144" s="113">
        <f t="shared" si="67"/>
        <v>4.01</v>
      </c>
      <c r="L144" s="113">
        <v>0</v>
      </c>
      <c r="M144" s="113">
        <v>1.57</v>
      </c>
      <c r="N144" s="113">
        <v>0</v>
      </c>
      <c r="O144" s="113">
        <v>0</v>
      </c>
      <c r="P144" s="113">
        <v>0</v>
      </c>
      <c r="Q144" s="113">
        <v>0</v>
      </c>
      <c r="R144" s="113">
        <v>2.06</v>
      </c>
      <c r="S144" s="113">
        <v>0</v>
      </c>
      <c r="T144" s="113">
        <v>0</v>
      </c>
      <c r="U144" s="113">
        <v>0.38</v>
      </c>
      <c r="V144" s="113">
        <v>8.08</v>
      </c>
      <c r="W144" s="106">
        <f t="shared" si="58"/>
        <v>47.63</v>
      </c>
      <c r="X144" s="113">
        <v>34.84</v>
      </c>
      <c r="Y144" s="113">
        <f t="shared" si="72"/>
        <v>4.3</v>
      </c>
      <c r="Z144" s="113">
        <v>0</v>
      </c>
      <c r="AA144" s="113">
        <v>1.69</v>
      </c>
      <c r="AB144" s="113">
        <v>0</v>
      </c>
      <c r="AC144" s="113">
        <v>0</v>
      </c>
      <c r="AD144" s="113">
        <v>0</v>
      </c>
      <c r="AE144" s="113">
        <v>0</v>
      </c>
      <c r="AF144" s="113">
        <v>2.21</v>
      </c>
      <c r="AG144" s="113">
        <v>0</v>
      </c>
      <c r="AH144" s="113">
        <v>0</v>
      </c>
      <c r="AI144" s="113">
        <v>0.4</v>
      </c>
      <c r="AJ144" s="113">
        <v>8.49</v>
      </c>
      <c r="AK144" s="113">
        <f t="shared" si="84"/>
        <v>2.6600000000000037</v>
      </c>
      <c r="AL144" s="151">
        <f>+AK144*6</f>
        <v>15.960000000000022</v>
      </c>
      <c r="AM144" s="142"/>
      <c r="AN144" s="108">
        <v>0</v>
      </c>
      <c r="AO144" s="142"/>
      <c r="AP144" s="142"/>
      <c r="AQ144" s="142"/>
      <c r="AR144" s="142"/>
    </row>
    <row r="145" spans="1:44" s="31" customFormat="1" ht="12.75">
      <c r="A145" s="35"/>
      <c r="B145" s="42" t="s">
        <v>158</v>
      </c>
      <c r="C145" s="242" t="s">
        <v>114</v>
      </c>
      <c r="D145" s="33">
        <f t="shared" si="64"/>
        <v>3.412356979405035</v>
      </c>
      <c r="E145" s="33">
        <f t="shared" si="65"/>
        <v>5.581693363844394</v>
      </c>
      <c r="F145" s="24">
        <f>+SUM(F146:F147)</f>
        <v>95</v>
      </c>
      <c r="G145" s="24">
        <f aca="true" t="shared" si="85" ref="G145:AL145">+SUM(G146:G147)</f>
        <v>95</v>
      </c>
      <c r="H145" s="41">
        <f t="shared" si="63"/>
        <v>7317.6</v>
      </c>
      <c r="I145" s="55">
        <f t="shared" si="85"/>
        <v>609.8000000000001</v>
      </c>
      <c r="J145" s="55">
        <f t="shared" si="85"/>
        <v>372.8</v>
      </c>
      <c r="K145" s="55">
        <f t="shared" si="85"/>
        <v>145.80000000000004</v>
      </c>
      <c r="L145" s="55">
        <f t="shared" si="85"/>
        <v>0</v>
      </c>
      <c r="M145" s="55">
        <f t="shared" si="85"/>
        <v>20.400000000000002</v>
      </c>
      <c r="N145" s="55">
        <f t="shared" si="85"/>
        <v>3.7</v>
      </c>
      <c r="O145" s="55">
        <f t="shared" si="85"/>
        <v>0</v>
      </c>
      <c r="P145" s="55">
        <f t="shared" si="85"/>
        <v>0</v>
      </c>
      <c r="Q145" s="55">
        <f t="shared" si="85"/>
        <v>0</v>
      </c>
      <c r="R145" s="55">
        <f t="shared" si="85"/>
        <v>116.2</v>
      </c>
      <c r="S145" s="55">
        <f t="shared" si="85"/>
        <v>3.3</v>
      </c>
      <c r="T145" s="55">
        <f t="shared" si="85"/>
        <v>1.3</v>
      </c>
      <c r="U145" s="55">
        <f t="shared" si="85"/>
        <v>0.8999999999999999</v>
      </c>
      <c r="V145" s="55">
        <f t="shared" si="85"/>
        <v>91.2</v>
      </c>
      <c r="W145" s="55">
        <f t="shared" si="85"/>
        <v>680.9000000000001</v>
      </c>
      <c r="X145" s="55">
        <f t="shared" si="85"/>
        <v>421.6</v>
      </c>
      <c r="Y145" s="55">
        <f t="shared" si="85"/>
        <v>156.29999999999998</v>
      </c>
      <c r="Z145" s="55">
        <f t="shared" si="85"/>
        <v>0</v>
      </c>
      <c r="AA145" s="55">
        <f t="shared" si="85"/>
        <v>21.599999999999998</v>
      </c>
      <c r="AB145" s="55">
        <f t="shared" si="85"/>
        <v>0.5</v>
      </c>
      <c r="AC145" s="55">
        <f t="shared" si="85"/>
        <v>3.5</v>
      </c>
      <c r="AD145" s="55">
        <f t="shared" si="85"/>
        <v>0</v>
      </c>
      <c r="AE145" s="55">
        <f t="shared" si="85"/>
        <v>0</v>
      </c>
      <c r="AF145" s="55">
        <f t="shared" si="85"/>
        <v>124.8</v>
      </c>
      <c r="AG145" s="55">
        <f t="shared" si="85"/>
        <v>3.5</v>
      </c>
      <c r="AH145" s="55">
        <f t="shared" si="85"/>
        <v>1.4</v>
      </c>
      <c r="AI145" s="55">
        <f t="shared" si="85"/>
        <v>1</v>
      </c>
      <c r="AJ145" s="55">
        <f t="shared" si="85"/>
        <v>103.00000000000001</v>
      </c>
      <c r="AK145" s="55">
        <f t="shared" si="85"/>
        <v>71.1</v>
      </c>
      <c r="AL145" s="239">
        <f t="shared" si="85"/>
        <v>426.6</v>
      </c>
      <c r="AM145" s="240"/>
      <c r="AN145" s="243">
        <f>+AN146+AN147</f>
        <v>2032.3147000000001</v>
      </c>
      <c r="AO145" s="240"/>
      <c r="AP145" s="240"/>
      <c r="AQ145" s="240"/>
      <c r="AR145" s="240"/>
    </row>
    <row r="146" spans="1:44" ht="12.75">
      <c r="A146" s="35" t="s">
        <v>240</v>
      </c>
      <c r="B146" s="21"/>
      <c r="C146" s="54" t="s">
        <v>226</v>
      </c>
      <c r="D146" s="33">
        <f t="shared" si="64"/>
        <v>3.440409207161126</v>
      </c>
      <c r="E146" s="33">
        <f t="shared" si="65"/>
        <v>5.6460358056266</v>
      </c>
      <c r="F146" s="18">
        <f>78+7</f>
        <v>85</v>
      </c>
      <c r="G146" s="18">
        <f>7+78</f>
        <v>85</v>
      </c>
      <c r="H146" s="41">
        <f t="shared" si="63"/>
        <v>6622.800000000001</v>
      </c>
      <c r="I146" s="55">
        <f>+SUM(J146:K146,V146)</f>
        <v>551.9000000000001</v>
      </c>
      <c r="J146" s="60">
        <f>19.7+316.6</f>
        <v>336.3</v>
      </c>
      <c r="K146" s="60">
        <f t="shared" si="67"/>
        <v>133.40000000000003</v>
      </c>
      <c r="L146" s="60">
        <v>0</v>
      </c>
      <c r="M146" s="60">
        <v>18.3</v>
      </c>
      <c r="N146" s="60">
        <v>3.2</v>
      </c>
      <c r="O146" s="60"/>
      <c r="P146" s="60"/>
      <c r="Q146" s="60"/>
      <c r="R146" s="60">
        <f>4.9+102.2</f>
        <v>107.10000000000001</v>
      </c>
      <c r="S146" s="60">
        <v>2.9</v>
      </c>
      <c r="T146" s="60">
        <v>1.3</v>
      </c>
      <c r="U146" s="60">
        <v>0.6</v>
      </c>
      <c r="V146" s="60">
        <f>4.5+77.7</f>
        <v>82.2</v>
      </c>
      <c r="W146" s="56">
        <f t="shared" si="58"/>
        <v>618.9000000000001</v>
      </c>
      <c r="X146" s="60">
        <f>21.1+361.3</f>
        <v>382.40000000000003</v>
      </c>
      <c r="Y146" s="60">
        <f t="shared" si="72"/>
        <v>143.2</v>
      </c>
      <c r="Z146" s="60"/>
      <c r="AA146" s="60">
        <v>19.4</v>
      </c>
      <c r="AB146" s="60"/>
      <c r="AC146" s="60">
        <v>3.5</v>
      </c>
      <c r="AD146" s="60"/>
      <c r="AE146" s="60"/>
      <c r="AF146" s="60">
        <f>5.3+109.8</f>
        <v>115.1</v>
      </c>
      <c r="AG146" s="60">
        <v>3.1</v>
      </c>
      <c r="AH146" s="60">
        <v>1.4</v>
      </c>
      <c r="AI146" s="60">
        <v>0.7</v>
      </c>
      <c r="AJ146" s="60">
        <f>4.9+88.4</f>
        <v>93.30000000000001</v>
      </c>
      <c r="AK146" s="60">
        <f>+W146-I146</f>
        <v>67</v>
      </c>
      <c r="AL146" s="238">
        <f>+AK146*6</f>
        <v>402</v>
      </c>
      <c r="AM146" s="63"/>
      <c r="AN146" s="241">
        <v>1823.95</v>
      </c>
      <c r="AO146" s="63"/>
      <c r="AP146" s="63"/>
      <c r="AQ146" s="63"/>
      <c r="AR146" s="63"/>
    </row>
    <row r="147" spans="1:44" ht="12.75">
      <c r="A147" s="35" t="s">
        <v>240</v>
      </c>
      <c r="B147" s="21"/>
      <c r="C147" s="54" t="s">
        <v>222</v>
      </c>
      <c r="D147" s="33">
        <f t="shared" si="64"/>
        <v>3.173913043478261</v>
      </c>
      <c r="E147" s="33">
        <f t="shared" si="65"/>
        <v>5.034782608695653</v>
      </c>
      <c r="F147" s="18">
        <v>10</v>
      </c>
      <c r="G147" s="18">
        <v>10</v>
      </c>
      <c r="H147" s="41">
        <f t="shared" si="63"/>
        <v>694.8</v>
      </c>
      <c r="I147" s="55">
        <f>+SUM(J147:K147,V147)</f>
        <v>57.9</v>
      </c>
      <c r="J147" s="60">
        <v>36.5</v>
      </c>
      <c r="K147" s="60">
        <f t="shared" si="67"/>
        <v>12.4</v>
      </c>
      <c r="L147" s="60">
        <v>0</v>
      </c>
      <c r="M147" s="60">
        <v>2.1</v>
      </c>
      <c r="N147" s="60">
        <v>0.5</v>
      </c>
      <c r="O147" s="60">
        <v>0</v>
      </c>
      <c r="P147" s="60">
        <v>0</v>
      </c>
      <c r="Q147" s="60">
        <v>0</v>
      </c>
      <c r="R147" s="60">
        <v>9.1</v>
      </c>
      <c r="S147" s="60">
        <v>0.4</v>
      </c>
      <c r="T147" s="60">
        <v>0</v>
      </c>
      <c r="U147" s="60">
        <v>0.3</v>
      </c>
      <c r="V147" s="60">
        <v>9</v>
      </c>
      <c r="W147" s="56">
        <f t="shared" si="58"/>
        <v>62</v>
      </c>
      <c r="X147" s="60">
        <v>39.2</v>
      </c>
      <c r="Y147" s="60">
        <f t="shared" si="72"/>
        <v>13.1</v>
      </c>
      <c r="Z147" s="60"/>
      <c r="AA147" s="60">
        <v>2.2</v>
      </c>
      <c r="AB147" s="60">
        <v>0.5</v>
      </c>
      <c r="AC147" s="60"/>
      <c r="AD147" s="60"/>
      <c r="AE147" s="60"/>
      <c r="AF147" s="60">
        <v>9.7</v>
      </c>
      <c r="AG147" s="60">
        <v>0.4</v>
      </c>
      <c r="AH147" s="60"/>
      <c r="AI147" s="60">
        <v>0.3</v>
      </c>
      <c r="AJ147" s="60">
        <v>9.7</v>
      </c>
      <c r="AK147" s="60">
        <f>+W147-I147</f>
        <v>4.100000000000001</v>
      </c>
      <c r="AL147" s="238">
        <f>+AK147*6</f>
        <v>24.60000000000001</v>
      </c>
      <c r="AM147" s="63"/>
      <c r="AN147" s="241">
        <v>208.3647</v>
      </c>
      <c r="AO147" s="63"/>
      <c r="AP147" s="63"/>
      <c r="AQ147" s="63"/>
      <c r="AR147" s="63"/>
    </row>
    <row r="148" spans="1:44" s="143" customFormat="1" ht="12.75">
      <c r="A148" s="99"/>
      <c r="B148" s="110" t="s">
        <v>158</v>
      </c>
      <c r="C148" s="101" t="s">
        <v>136</v>
      </c>
      <c r="D148" s="102">
        <f t="shared" si="64"/>
        <v>3.671497584541063</v>
      </c>
      <c r="E148" s="102">
        <f t="shared" si="65"/>
        <v>5.800644122383254</v>
      </c>
      <c r="F148" s="112">
        <v>29</v>
      </c>
      <c r="G148" s="112">
        <v>27</v>
      </c>
      <c r="H148" s="104">
        <f t="shared" si="63"/>
        <v>2161.32</v>
      </c>
      <c r="I148" s="105">
        <f>+SUM(J148:K148,V148)</f>
        <v>180.11</v>
      </c>
      <c r="J148" s="113">
        <v>114</v>
      </c>
      <c r="K148" s="113">
        <f t="shared" si="67"/>
        <v>38.11</v>
      </c>
      <c r="L148" s="113">
        <v>0</v>
      </c>
      <c r="M148" s="113">
        <v>0</v>
      </c>
      <c r="N148" s="113">
        <v>2</v>
      </c>
      <c r="O148" s="113">
        <v>0</v>
      </c>
      <c r="P148" s="113">
        <v>0</v>
      </c>
      <c r="Q148" s="113">
        <v>0</v>
      </c>
      <c r="R148" s="113">
        <v>29</v>
      </c>
      <c r="S148" s="113">
        <v>1.82</v>
      </c>
      <c r="T148" s="113">
        <v>0</v>
      </c>
      <c r="U148" s="113">
        <f>2.66+2.63</f>
        <v>5.29</v>
      </c>
      <c r="V148" s="113">
        <v>28</v>
      </c>
      <c r="W148" s="106">
        <f t="shared" si="58"/>
        <v>194.43</v>
      </c>
      <c r="X148" s="113">
        <v>122.92</v>
      </c>
      <c r="Y148" s="113">
        <f t="shared" si="72"/>
        <v>41.42</v>
      </c>
      <c r="Z148" s="113">
        <v>0</v>
      </c>
      <c r="AA148" s="113">
        <v>0</v>
      </c>
      <c r="AB148" s="113">
        <v>2.45</v>
      </c>
      <c r="AC148" s="113">
        <v>0</v>
      </c>
      <c r="AD148" s="113">
        <v>0</v>
      </c>
      <c r="AE148" s="113">
        <v>0</v>
      </c>
      <c r="AF148" s="113">
        <v>31.34</v>
      </c>
      <c r="AG148" s="113">
        <v>1.95</v>
      </c>
      <c r="AH148" s="113">
        <v>0</v>
      </c>
      <c r="AI148" s="113">
        <f>2.86+2.82</f>
        <v>5.68</v>
      </c>
      <c r="AJ148" s="113">
        <v>30.09</v>
      </c>
      <c r="AK148" s="113">
        <f>+W148-I148</f>
        <v>14.319999999999993</v>
      </c>
      <c r="AL148" s="151">
        <f>+AK148*6</f>
        <v>85.91999999999996</v>
      </c>
      <c r="AM148" s="142"/>
      <c r="AN148" s="108">
        <v>677.117008</v>
      </c>
      <c r="AO148" s="142"/>
      <c r="AP148" s="142"/>
      <c r="AQ148" s="142"/>
      <c r="AR148" s="142"/>
    </row>
    <row r="149" spans="1:44" s="143" customFormat="1" ht="12.75">
      <c r="A149" s="99"/>
      <c r="B149" s="110" t="s">
        <v>158</v>
      </c>
      <c r="C149" s="101" t="s">
        <v>137</v>
      </c>
      <c r="D149" s="102">
        <f t="shared" si="64"/>
        <v>3.5872715816005045</v>
      </c>
      <c r="E149" s="102">
        <f t="shared" si="65"/>
        <v>5.613862633900441</v>
      </c>
      <c r="F149" s="112">
        <v>71</v>
      </c>
      <c r="G149" s="112">
        <v>69</v>
      </c>
      <c r="H149" s="104">
        <f t="shared" si="63"/>
        <v>5345.5199999999995</v>
      </c>
      <c r="I149" s="105">
        <f>+SUM(J149:K149,V149)</f>
        <v>445.46</v>
      </c>
      <c r="J149" s="113">
        <v>284.65</v>
      </c>
      <c r="K149" s="113">
        <f t="shared" si="67"/>
        <v>97.36999999999999</v>
      </c>
      <c r="L149" s="113">
        <v>0</v>
      </c>
      <c r="M149" s="113">
        <v>16.78</v>
      </c>
      <c r="N149" s="113">
        <v>0.75</v>
      </c>
      <c r="O149" s="113">
        <v>0</v>
      </c>
      <c r="P149" s="113">
        <v>0</v>
      </c>
      <c r="Q149" s="113">
        <v>0</v>
      </c>
      <c r="R149" s="113">
        <v>75.33</v>
      </c>
      <c r="S149" s="113">
        <v>2.69</v>
      </c>
      <c r="T149" s="113">
        <v>0</v>
      </c>
      <c r="U149" s="113">
        <v>1.82</v>
      </c>
      <c r="V149" s="113">
        <v>63.44</v>
      </c>
      <c r="W149" s="106">
        <f t="shared" si="58"/>
        <v>478.72</v>
      </c>
      <c r="X149" s="113">
        <v>305.83</v>
      </c>
      <c r="Y149" s="113">
        <f t="shared" si="72"/>
        <v>104.73</v>
      </c>
      <c r="Z149" s="113">
        <v>0</v>
      </c>
      <c r="AA149" s="113">
        <v>17.94</v>
      </c>
      <c r="AB149" s="113">
        <v>0.81</v>
      </c>
      <c r="AC149" s="113">
        <v>0</v>
      </c>
      <c r="AD149" s="113">
        <v>0</v>
      </c>
      <c r="AF149" s="113">
        <v>81.14</v>
      </c>
      <c r="AG149" s="113">
        <v>2.89</v>
      </c>
      <c r="AH149" s="113">
        <v>0</v>
      </c>
      <c r="AI149" s="113">
        <v>1.95</v>
      </c>
      <c r="AJ149" s="113">
        <v>68.16</v>
      </c>
      <c r="AK149" s="113">
        <f>+W149-I149</f>
        <v>33.26000000000005</v>
      </c>
      <c r="AL149" s="151">
        <f>+AK149*6</f>
        <v>199.5600000000003</v>
      </c>
      <c r="AM149" s="142"/>
      <c r="AN149" s="108">
        <v>3057.025575</v>
      </c>
      <c r="AO149" s="142"/>
      <c r="AP149" s="142"/>
      <c r="AQ149" s="142"/>
      <c r="AR149" s="142"/>
    </row>
    <row r="150" spans="1:44" s="83" customFormat="1" ht="12.75">
      <c r="A150" s="70"/>
      <c r="B150" s="76"/>
      <c r="C150" s="77" t="s">
        <v>41</v>
      </c>
      <c r="D150" s="84">
        <f t="shared" si="64"/>
        <v>3.3084459903381642</v>
      </c>
      <c r="E150" s="84">
        <f t="shared" si="65"/>
        <v>5.444576799323672</v>
      </c>
      <c r="F150" s="73">
        <f>SUM(F151:F169)</f>
        <v>236</v>
      </c>
      <c r="G150" s="73">
        <f>SUM(G151:G169)</f>
        <v>225</v>
      </c>
      <c r="H150" s="88">
        <f t="shared" si="63"/>
        <v>16905.410961899997</v>
      </c>
      <c r="I150" s="81">
        <f>SUM(I151:I169)</f>
        <v>1408.7842468249999</v>
      </c>
      <c r="J150" s="81">
        <f>SUM(J151:J169)</f>
        <v>856.0604</v>
      </c>
      <c r="K150" s="81">
        <f aca="true" t="shared" si="86" ref="K150:V150">SUM(K151:K169)</f>
        <v>369.54113565000006</v>
      </c>
      <c r="L150" s="81">
        <f t="shared" si="86"/>
        <v>0</v>
      </c>
      <c r="M150" s="81">
        <f t="shared" si="86"/>
        <v>59.42499999999999</v>
      </c>
      <c r="N150" s="81">
        <f t="shared" si="86"/>
        <v>6.499022999999999</v>
      </c>
      <c r="O150" s="81">
        <f t="shared" si="86"/>
        <v>28.452</v>
      </c>
      <c r="P150" s="81">
        <f t="shared" si="86"/>
        <v>0</v>
      </c>
      <c r="Q150" s="81">
        <f t="shared" si="86"/>
        <v>0</v>
      </c>
      <c r="R150" s="81">
        <f t="shared" si="86"/>
        <v>107.83830574999999</v>
      </c>
      <c r="S150" s="81">
        <f t="shared" si="86"/>
        <v>159.0970069</v>
      </c>
      <c r="T150" s="81">
        <f t="shared" si="86"/>
        <v>0</v>
      </c>
      <c r="U150" s="81">
        <f t="shared" si="86"/>
        <v>8.229800000000001</v>
      </c>
      <c r="V150" s="81">
        <f t="shared" si="86"/>
        <v>183.18271117499998</v>
      </c>
      <c r="W150" s="81">
        <f>SUM(W151:W169)</f>
        <v>1525.9926172499997</v>
      </c>
      <c r="X150" s="81">
        <f aca="true" t="shared" si="87" ref="X150:AR150">SUM(X151:X169)</f>
        <v>918.3006000000001</v>
      </c>
      <c r="Y150" s="81">
        <f t="shared" si="87"/>
        <v>408.82129449999996</v>
      </c>
      <c r="Z150" s="81">
        <f t="shared" si="87"/>
        <v>13.08</v>
      </c>
      <c r="AA150" s="81">
        <f t="shared" si="87"/>
        <v>62.22599999999999</v>
      </c>
      <c r="AB150" s="81">
        <f t="shared" si="87"/>
        <v>7.10919</v>
      </c>
      <c r="AC150" s="81">
        <f t="shared" si="87"/>
        <v>30.791</v>
      </c>
      <c r="AD150" s="81">
        <f t="shared" si="87"/>
        <v>0</v>
      </c>
      <c r="AE150" s="81">
        <f t="shared" si="87"/>
        <v>0</v>
      </c>
      <c r="AF150" s="81">
        <f t="shared" si="87"/>
        <v>115.40504750000001</v>
      </c>
      <c r="AG150" s="81">
        <f t="shared" si="87"/>
        <v>171.73005699999996</v>
      </c>
      <c r="AH150" s="81">
        <f t="shared" si="87"/>
        <v>0</v>
      </c>
      <c r="AI150" s="81">
        <f t="shared" si="87"/>
        <v>8.48</v>
      </c>
      <c r="AJ150" s="81">
        <f t="shared" si="87"/>
        <v>198.87072275000003</v>
      </c>
      <c r="AK150" s="81">
        <f t="shared" si="87"/>
        <v>117.20837042500006</v>
      </c>
      <c r="AL150" s="152">
        <f>SUM(AL151:AL169)</f>
        <v>741.4874225500004</v>
      </c>
      <c r="AM150" s="81">
        <f t="shared" si="87"/>
        <v>0</v>
      </c>
      <c r="AN150" s="81">
        <f t="shared" si="87"/>
        <v>4761.823307000001</v>
      </c>
      <c r="AO150" s="81">
        <f t="shared" si="87"/>
        <v>0</v>
      </c>
      <c r="AP150" s="81">
        <f t="shared" si="87"/>
        <v>0</v>
      </c>
      <c r="AQ150" s="81">
        <f t="shared" si="87"/>
        <v>0</v>
      </c>
      <c r="AR150" s="81">
        <f t="shared" si="87"/>
        <v>0</v>
      </c>
    </row>
    <row r="151" spans="1:44" s="143" customFormat="1" ht="12.75">
      <c r="A151" s="99"/>
      <c r="B151" s="110" t="s">
        <v>158</v>
      </c>
      <c r="C151" s="111" t="s">
        <v>138</v>
      </c>
      <c r="D151" s="102">
        <f t="shared" si="64"/>
        <v>3.8647342995169085</v>
      </c>
      <c r="E151" s="102">
        <f t="shared" si="65"/>
        <v>7.47181964573269</v>
      </c>
      <c r="F151" s="112">
        <v>27</v>
      </c>
      <c r="G151" s="112">
        <v>27</v>
      </c>
      <c r="H151" s="104">
        <f t="shared" si="63"/>
        <v>2784</v>
      </c>
      <c r="I151" s="105">
        <f aca="true" t="shared" si="88" ref="I151:I169">+SUM(J151:K151,V151)</f>
        <v>232</v>
      </c>
      <c r="J151" s="113">
        <v>120</v>
      </c>
      <c r="K151" s="113">
        <f t="shared" si="67"/>
        <v>84</v>
      </c>
      <c r="L151" s="113">
        <v>0</v>
      </c>
      <c r="M151" s="113">
        <v>8</v>
      </c>
      <c r="N151" s="113">
        <v>3</v>
      </c>
      <c r="O151" s="113">
        <v>0</v>
      </c>
      <c r="P151" s="113">
        <v>0</v>
      </c>
      <c r="Q151" s="113">
        <v>0</v>
      </c>
      <c r="R151" s="113">
        <v>33</v>
      </c>
      <c r="S151" s="113">
        <v>40</v>
      </c>
      <c r="T151" s="113">
        <v>0</v>
      </c>
      <c r="U151" s="113">
        <v>0</v>
      </c>
      <c r="V151" s="113">
        <v>28</v>
      </c>
      <c r="W151" s="106">
        <f aca="true" t="shared" si="89" ref="W151:W169">+SUM(X151:Y151,AJ151)</f>
        <v>249</v>
      </c>
      <c r="X151" s="113">
        <v>130</v>
      </c>
      <c r="Y151" s="113">
        <f aca="true" t="shared" si="90" ref="Y151:Y169">+SUM(Z151:AI151)</f>
        <v>89</v>
      </c>
      <c r="Z151" s="113">
        <v>0</v>
      </c>
      <c r="AA151" s="113">
        <v>8</v>
      </c>
      <c r="AB151" s="113">
        <v>3</v>
      </c>
      <c r="AC151" s="113">
        <v>0</v>
      </c>
      <c r="AD151" s="113">
        <v>0</v>
      </c>
      <c r="AE151" s="113">
        <v>0</v>
      </c>
      <c r="AF151" s="113">
        <v>35</v>
      </c>
      <c r="AG151" s="113">
        <v>43</v>
      </c>
      <c r="AH151" s="113">
        <v>0</v>
      </c>
      <c r="AI151" s="113">
        <v>0</v>
      </c>
      <c r="AJ151" s="113">
        <v>30</v>
      </c>
      <c r="AK151" s="113">
        <f aca="true" t="shared" si="91" ref="AK151:AK169">+W151-I151</f>
        <v>17</v>
      </c>
      <c r="AL151" s="151">
        <f aca="true" t="shared" si="92" ref="AL151:AL159">+AK151*6</f>
        <v>102</v>
      </c>
      <c r="AM151" s="142"/>
      <c r="AN151" s="108">
        <v>593.8</v>
      </c>
      <c r="AO151" s="142"/>
      <c r="AP151" s="142"/>
      <c r="AQ151" s="142"/>
      <c r="AR151" s="142"/>
    </row>
    <row r="152" spans="1:44" s="143" customFormat="1" ht="12.75">
      <c r="A152" s="99"/>
      <c r="B152" s="110" t="s">
        <v>158</v>
      </c>
      <c r="C152" s="111" t="s">
        <v>139</v>
      </c>
      <c r="D152" s="102">
        <f t="shared" si="64"/>
        <v>1.7647058823529411</v>
      </c>
      <c r="E152" s="102">
        <f t="shared" si="65"/>
        <v>4.32225063938619</v>
      </c>
      <c r="F152" s="112">
        <v>36</v>
      </c>
      <c r="G152" s="112">
        <v>34</v>
      </c>
      <c r="H152" s="104">
        <f t="shared" si="63"/>
        <v>2028</v>
      </c>
      <c r="I152" s="105">
        <f t="shared" si="88"/>
        <v>169</v>
      </c>
      <c r="J152" s="113">
        <v>69</v>
      </c>
      <c r="K152" s="113">
        <f>+SUM(L152:U152)</f>
        <v>67</v>
      </c>
      <c r="L152" s="113">
        <v>0</v>
      </c>
      <c r="M152" s="113">
        <v>9</v>
      </c>
      <c r="N152" s="113">
        <v>0</v>
      </c>
      <c r="O152" s="113">
        <v>0</v>
      </c>
      <c r="P152" s="113">
        <v>0</v>
      </c>
      <c r="Q152" s="113">
        <v>0</v>
      </c>
      <c r="R152" s="113">
        <v>22</v>
      </c>
      <c r="S152" s="113">
        <v>33</v>
      </c>
      <c r="T152" s="113">
        <v>0</v>
      </c>
      <c r="U152" s="113">
        <v>3</v>
      </c>
      <c r="V152" s="113">
        <v>33</v>
      </c>
      <c r="W152" s="106">
        <f t="shared" si="89"/>
        <v>182</v>
      </c>
      <c r="X152" s="113">
        <v>74</v>
      </c>
      <c r="Y152" s="113">
        <f t="shared" si="90"/>
        <v>72</v>
      </c>
      <c r="Z152" s="113">
        <v>0</v>
      </c>
      <c r="AA152" s="113">
        <v>9</v>
      </c>
      <c r="AB152" s="113">
        <v>0</v>
      </c>
      <c r="AC152" s="113">
        <v>0</v>
      </c>
      <c r="AD152" s="113">
        <v>0</v>
      </c>
      <c r="AE152" s="113">
        <v>0</v>
      </c>
      <c r="AF152" s="113">
        <v>24</v>
      </c>
      <c r="AG152" s="113">
        <v>36</v>
      </c>
      <c r="AH152" s="113">
        <v>0</v>
      </c>
      <c r="AI152" s="113">
        <v>3</v>
      </c>
      <c r="AJ152" s="113">
        <v>36</v>
      </c>
      <c r="AK152" s="113">
        <f t="shared" si="91"/>
        <v>13</v>
      </c>
      <c r="AL152" s="151">
        <f t="shared" si="92"/>
        <v>78</v>
      </c>
      <c r="AM152" s="142"/>
      <c r="AN152" s="108">
        <v>750.705936</v>
      </c>
      <c r="AO152" s="142"/>
      <c r="AP152" s="142"/>
      <c r="AQ152" s="142"/>
      <c r="AR152" s="142"/>
    </row>
    <row r="153" spans="1:44" s="143" customFormat="1" ht="12.75">
      <c r="A153" s="99"/>
      <c r="B153" s="110" t="s">
        <v>158</v>
      </c>
      <c r="C153" s="111" t="s">
        <v>140</v>
      </c>
      <c r="D153" s="102">
        <f t="shared" si="64"/>
        <v>3.547329192546584</v>
      </c>
      <c r="E153" s="102">
        <f t="shared" si="65"/>
        <v>6.886266949275363</v>
      </c>
      <c r="F153" s="237">
        <v>22</v>
      </c>
      <c r="G153" s="237">
        <v>21</v>
      </c>
      <c r="H153" s="104">
        <f t="shared" si="63"/>
        <v>1995.6401619</v>
      </c>
      <c r="I153" s="105">
        <f t="shared" si="88"/>
        <v>166.303346825</v>
      </c>
      <c r="J153" s="113">
        <v>85.66799999999999</v>
      </c>
      <c r="K153" s="113">
        <f t="shared" si="67"/>
        <v>59.58253564999999</v>
      </c>
      <c r="L153" s="113">
        <v>0</v>
      </c>
      <c r="M153" s="113">
        <v>6.775999999999998</v>
      </c>
      <c r="N153" s="113">
        <v>1.0240230000000001</v>
      </c>
      <c r="O153" s="113">
        <v>0</v>
      </c>
      <c r="P153" s="113">
        <v>0</v>
      </c>
      <c r="Q153" s="113">
        <v>0</v>
      </c>
      <c r="R153" s="113">
        <v>23.427505749999998</v>
      </c>
      <c r="S153" s="113">
        <v>28.1130069</v>
      </c>
      <c r="T153" s="113">
        <v>0</v>
      </c>
      <c r="U153" s="113">
        <v>0.242</v>
      </c>
      <c r="V153" s="113">
        <v>21.052811175000002</v>
      </c>
      <c r="W153" s="106">
        <f t="shared" si="89"/>
        <v>178.41301725</v>
      </c>
      <c r="X153" s="113">
        <v>92.04</v>
      </c>
      <c r="Y153" s="113">
        <f t="shared" si="90"/>
        <v>63.7542945</v>
      </c>
      <c r="Z153" s="113">
        <v>0</v>
      </c>
      <c r="AA153" s="113">
        <v>7.2799999999999985</v>
      </c>
      <c r="AB153" s="113">
        <v>1.10019</v>
      </c>
      <c r="AC153" s="113">
        <v>0</v>
      </c>
      <c r="AD153" s="113">
        <v>0</v>
      </c>
      <c r="AE153" s="113">
        <v>0</v>
      </c>
      <c r="AF153" s="113">
        <v>25.170047500000003</v>
      </c>
      <c r="AG153" s="113">
        <v>30.204057000000002</v>
      </c>
      <c r="AH153" s="113">
        <v>0</v>
      </c>
      <c r="AI153" s="113">
        <v>0</v>
      </c>
      <c r="AJ153" s="113">
        <v>22.618722749999996</v>
      </c>
      <c r="AK153" s="113">
        <f t="shared" si="91"/>
        <v>12.10967042499999</v>
      </c>
      <c r="AL153" s="151">
        <f t="shared" si="92"/>
        <v>72.65802254999994</v>
      </c>
      <c r="AM153" s="142"/>
      <c r="AN153" s="108">
        <v>417.736185</v>
      </c>
      <c r="AO153" s="142"/>
      <c r="AP153" s="142"/>
      <c r="AQ153" s="142"/>
      <c r="AR153" s="142"/>
    </row>
    <row r="154" spans="1:44" s="143" customFormat="1" ht="12.75">
      <c r="A154" s="99"/>
      <c r="B154" s="110" t="s">
        <v>158</v>
      </c>
      <c r="C154" s="111" t="s">
        <v>141</v>
      </c>
      <c r="D154" s="102">
        <f t="shared" si="64"/>
        <v>3.9923251417769374</v>
      </c>
      <c r="E154" s="102">
        <f t="shared" si="65"/>
        <v>7.658412098298677</v>
      </c>
      <c r="F154" s="112">
        <v>24</v>
      </c>
      <c r="G154" s="112">
        <v>23</v>
      </c>
      <c r="H154" s="104">
        <f t="shared" si="63"/>
        <v>2430.7799999999997</v>
      </c>
      <c r="I154" s="105">
        <f t="shared" si="88"/>
        <v>202.565</v>
      </c>
      <c r="J154" s="113">
        <v>105.597</v>
      </c>
      <c r="K154" s="113">
        <f t="shared" si="67"/>
        <v>70.796</v>
      </c>
      <c r="L154" s="113">
        <v>0</v>
      </c>
      <c r="M154" s="113">
        <v>6.172</v>
      </c>
      <c r="N154" s="113">
        <v>1.67</v>
      </c>
      <c r="O154" s="113">
        <v>28.452</v>
      </c>
      <c r="P154" s="113">
        <v>0</v>
      </c>
      <c r="Q154" s="113">
        <v>0</v>
      </c>
      <c r="R154" s="113">
        <v>0</v>
      </c>
      <c r="S154" s="113">
        <v>34.139</v>
      </c>
      <c r="T154" s="113">
        <v>0</v>
      </c>
      <c r="U154" s="113">
        <v>0.363</v>
      </c>
      <c r="V154" s="113">
        <v>26.172</v>
      </c>
      <c r="W154" s="106">
        <f t="shared" si="89"/>
        <v>219.23000000000002</v>
      </c>
      <c r="X154" s="113">
        <v>114.043</v>
      </c>
      <c r="Y154" s="113">
        <f t="shared" si="90"/>
        <v>76.86</v>
      </c>
      <c r="Z154" s="113">
        <v>0</v>
      </c>
      <c r="AA154" s="113">
        <v>6.581</v>
      </c>
      <c r="AB154" s="113">
        <v>2.149</v>
      </c>
      <c r="AC154" s="113">
        <v>30.791</v>
      </c>
      <c r="AD154" s="113">
        <v>0</v>
      </c>
      <c r="AE154" s="113">
        <v>0</v>
      </c>
      <c r="AF154" s="113">
        <v>0</v>
      </c>
      <c r="AG154" s="113">
        <v>36.949</v>
      </c>
      <c r="AH154" s="113">
        <v>0</v>
      </c>
      <c r="AI154" s="113">
        <v>0.39</v>
      </c>
      <c r="AJ154" s="113">
        <v>28.327</v>
      </c>
      <c r="AK154" s="113">
        <f t="shared" si="91"/>
        <v>16.66500000000002</v>
      </c>
      <c r="AL154" s="151">
        <f t="shared" si="92"/>
        <v>99.99000000000012</v>
      </c>
      <c r="AM154" s="142"/>
      <c r="AN154" s="108">
        <v>491.4775</v>
      </c>
      <c r="AO154" s="142"/>
      <c r="AP154" s="142"/>
      <c r="AQ154" s="142"/>
      <c r="AR154" s="142"/>
    </row>
    <row r="155" spans="1:44" s="143" customFormat="1" ht="12.75">
      <c r="A155" s="99"/>
      <c r="B155" s="110"/>
      <c r="C155" s="141" t="s">
        <v>142</v>
      </c>
      <c r="D155" s="102">
        <f t="shared" si="64"/>
        <v>3.5396739130434782</v>
      </c>
      <c r="E155" s="102">
        <f t="shared" si="65"/>
        <v>6.272826086956521</v>
      </c>
      <c r="F155" s="112">
        <v>16</v>
      </c>
      <c r="G155" s="112">
        <v>16</v>
      </c>
      <c r="H155" s="104">
        <f t="shared" si="63"/>
        <v>1385.04</v>
      </c>
      <c r="I155" s="105">
        <f>+SUM(J155:K155,V155)</f>
        <v>115.41999999999999</v>
      </c>
      <c r="J155" s="113">
        <v>65.13</v>
      </c>
      <c r="K155" s="113">
        <f>+SUM(L155:U155)</f>
        <v>47.08</v>
      </c>
      <c r="L155" s="113">
        <v>0</v>
      </c>
      <c r="M155" s="113">
        <v>6.66</v>
      </c>
      <c r="N155" s="113">
        <v>0</v>
      </c>
      <c r="O155" s="113">
        <v>0</v>
      </c>
      <c r="P155" s="113">
        <v>0</v>
      </c>
      <c r="Q155" s="113">
        <v>0</v>
      </c>
      <c r="R155" s="113">
        <v>17.95</v>
      </c>
      <c r="S155" s="236">
        <v>21.54</v>
      </c>
      <c r="T155" s="113">
        <v>0</v>
      </c>
      <c r="U155" s="236">
        <v>0.93</v>
      </c>
      <c r="V155" s="236">
        <v>3.21</v>
      </c>
      <c r="W155" s="106">
        <f t="shared" si="89"/>
        <v>123.92</v>
      </c>
      <c r="X155" s="113">
        <v>69.98</v>
      </c>
      <c r="Y155" s="113">
        <f t="shared" si="90"/>
        <v>50.49</v>
      </c>
      <c r="Z155" s="113">
        <v>0</v>
      </c>
      <c r="AA155" s="113">
        <v>7.15</v>
      </c>
      <c r="AB155" s="113">
        <v>0</v>
      </c>
      <c r="AC155" s="113">
        <v>0</v>
      </c>
      <c r="AD155" s="113">
        <v>0</v>
      </c>
      <c r="AE155" s="113">
        <v>0</v>
      </c>
      <c r="AF155" s="113">
        <v>19.2</v>
      </c>
      <c r="AG155" s="113">
        <v>23.14</v>
      </c>
      <c r="AH155" s="113">
        <v>0</v>
      </c>
      <c r="AI155" s="113">
        <v>1</v>
      </c>
      <c r="AJ155" s="113">
        <v>3.45</v>
      </c>
      <c r="AK155" s="113">
        <f t="shared" si="91"/>
        <v>8.500000000000014</v>
      </c>
      <c r="AL155" s="151">
        <f t="shared" si="92"/>
        <v>51.000000000000085</v>
      </c>
      <c r="AM155" s="142"/>
      <c r="AN155" s="108">
        <v>238.86</v>
      </c>
      <c r="AO155" s="142"/>
      <c r="AP155" s="142"/>
      <c r="AQ155" s="142"/>
      <c r="AR155" s="142"/>
    </row>
    <row r="156" spans="1:44" s="300" customFormat="1" ht="25.5">
      <c r="A156" s="293"/>
      <c r="B156" s="294" t="s">
        <v>158</v>
      </c>
      <c r="C156" s="173" t="s">
        <v>344</v>
      </c>
      <c r="D156" s="295">
        <f t="shared" si="64"/>
        <v>1.711304347826087</v>
      </c>
      <c r="E156" s="295">
        <f t="shared" si="65"/>
        <v>3.395217391304348</v>
      </c>
      <c r="F156" s="284">
        <v>10</v>
      </c>
      <c r="G156" s="284">
        <v>10</v>
      </c>
      <c r="H156" s="296">
        <f t="shared" si="63"/>
        <v>468.54</v>
      </c>
      <c r="I156" s="223">
        <f t="shared" si="88"/>
        <v>39.045</v>
      </c>
      <c r="J156" s="224">
        <v>19.68</v>
      </c>
      <c r="K156" s="224">
        <f t="shared" si="67"/>
        <v>14.835</v>
      </c>
      <c r="L156" s="224">
        <v>0</v>
      </c>
      <c r="M156" s="224">
        <v>14.26</v>
      </c>
      <c r="N156" s="224">
        <v>0</v>
      </c>
      <c r="O156" s="224">
        <v>0</v>
      </c>
      <c r="P156" s="224">
        <v>0</v>
      </c>
      <c r="Q156" s="224">
        <v>0</v>
      </c>
      <c r="R156" s="224">
        <v>0</v>
      </c>
      <c r="S156" s="224">
        <v>0.46</v>
      </c>
      <c r="T156" s="224">
        <v>0</v>
      </c>
      <c r="U156" s="224">
        <v>0.115</v>
      </c>
      <c r="V156" s="224">
        <v>4.53</v>
      </c>
      <c r="W156" s="297">
        <f>+SUM(X156:Y156,AJ156)</f>
        <v>41.554</v>
      </c>
      <c r="X156" s="224">
        <v>21.1</v>
      </c>
      <c r="Y156" s="224">
        <f t="shared" si="90"/>
        <v>15.604</v>
      </c>
      <c r="Z156" s="224">
        <v>0</v>
      </c>
      <c r="AA156" s="224">
        <v>15</v>
      </c>
      <c r="AB156" s="224">
        <v>0</v>
      </c>
      <c r="AC156" s="224">
        <v>0</v>
      </c>
      <c r="AD156" s="224">
        <v>0</v>
      </c>
      <c r="AE156" s="224">
        <v>0</v>
      </c>
      <c r="AF156" s="224">
        <v>0</v>
      </c>
      <c r="AG156" s="224">
        <v>0.484</v>
      </c>
      <c r="AH156" s="224">
        <v>0</v>
      </c>
      <c r="AI156" s="224">
        <v>0.12</v>
      </c>
      <c r="AJ156" s="224">
        <v>4.85</v>
      </c>
      <c r="AK156" s="224">
        <f t="shared" si="91"/>
        <v>2.5090000000000003</v>
      </c>
      <c r="AL156" s="298">
        <f t="shared" si="92"/>
        <v>15.054000000000002</v>
      </c>
      <c r="AM156" s="299"/>
      <c r="AN156" s="108">
        <v>270.794355</v>
      </c>
      <c r="AO156" s="299"/>
      <c r="AP156" s="299"/>
      <c r="AQ156" s="299"/>
      <c r="AR156" s="299"/>
    </row>
    <row r="157" spans="1:44" s="143" customFormat="1" ht="12.75">
      <c r="A157" s="99"/>
      <c r="B157" s="110" t="s">
        <v>158</v>
      </c>
      <c r="C157" s="141" t="s">
        <v>143</v>
      </c>
      <c r="D157" s="102">
        <f t="shared" si="64"/>
        <v>3.17104347826087</v>
      </c>
      <c r="E157" s="102">
        <f t="shared" si="65"/>
        <v>4.308434782608696</v>
      </c>
      <c r="F157" s="112">
        <v>14</v>
      </c>
      <c r="G157" s="112">
        <v>10</v>
      </c>
      <c r="H157" s="104">
        <f t="shared" si="63"/>
        <v>594.564</v>
      </c>
      <c r="I157" s="105">
        <f t="shared" si="88"/>
        <v>49.547</v>
      </c>
      <c r="J157" s="113">
        <v>36.467</v>
      </c>
      <c r="K157" s="113">
        <f t="shared" si="67"/>
        <v>4.8549999999999995</v>
      </c>
      <c r="L157" s="113">
        <v>0</v>
      </c>
      <c r="M157" s="113">
        <v>0.655</v>
      </c>
      <c r="N157" s="113">
        <v>0</v>
      </c>
      <c r="O157" s="113">
        <v>0</v>
      </c>
      <c r="P157" s="113">
        <v>0</v>
      </c>
      <c r="Q157" s="113">
        <v>0</v>
      </c>
      <c r="R157" s="113">
        <v>3.741</v>
      </c>
      <c r="S157" s="113">
        <v>0.393</v>
      </c>
      <c r="T157" s="113">
        <v>0</v>
      </c>
      <c r="U157" s="113">
        <v>0.066</v>
      </c>
      <c r="V157" s="113">
        <v>8.225</v>
      </c>
      <c r="W157" s="106">
        <f>+SUM(X157:Y157,AJ157)</f>
        <v>62.627</v>
      </c>
      <c r="X157" s="113">
        <v>36.467</v>
      </c>
      <c r="Y157" s="113">
        <f>+SUM(Z157:AI157)</f>
        <v>17.935</v>
      </c>
      <c r="Z157" s="113">
        <v>13.08</v>
      </c>
      <c r="AA157" s="113">
        <v>0.655</v>
      </c>
      <c r="AB157" s="113">
        <v>0</v>
      </c>
      <c r="AC157" s="113">
        <v>0</v>
      </c>
      <c r="AD157" s="113">
        <v>0</v>
      </c>
      <c r="AE157" s="113">
        <v>0</v>
      </c>
      <c r="AF157" s="113">
        <v>3.741</v>
      </c>
      <c r="AG157" s="113">
        <v>0.393</v>
      </c>
      <c r="AH157" s="113">
        <v>0</v>
      </c>
      <c r="AI157" s="113">
        <v>0.066</v>
      </c>
      <c r="AJ157" s="113">
        <v>8.225</v>
      </c>
      <c r="AK157" s="113">
        <f t="shared" si="91"/>
        <v>13.080000000000005</v>
      </c>
      <c r="AL157" s="151">
        <f t="shared" si="92"/>
        <v>78.48000000000003</v>
      </c>
      <c r="AM157" s="142"/>
      <c r="AN157" s="108">
        <v>53</v>
      </c>
      <c r="AO157" s="142"/>
      <c r="AP157" s="142"/>
      <c r="AQ157" s="142"/>
      <c r="AR157" s="142"/>
    </row>
    <row r="158" spans="1:44" s="143" customFormat="1" ht="12.75">
      <c r="A158" s="99"/>
      <c r="B158" s="110"/>
      <c r="C158" s="111" t="s">
        <v>144</v>
      </c>
      <c r="D158" s="102">
        <f t="shared" si="64"/>
        <v>3.149802371541502</v>
      </c>
      <c r="E158" s="102">
        <f t="shared" si="65"/>
        <v>3.952252964426878</v>
      </c>
      <c r="F158" s="112">
        <v>11</v>
      </c>
      <c r="G158" s="112">
        <v>11</v>
      </c>
      <c r="H158" s="104">
        <f t="shared" si="63"/>
        <v>599.952</v>
      </c>
      <c r="I158" s="105">
        <f t="shared" si="88"/>
        <v>49.996</v>
      </c>
      <c r="J158" s="113">
        <v>39.845</v>
      </c>
      <c r="K158" s="113">
        <f t="shared" si="67"/>
        <v>3.225</v>
      </c>
      <c r="L158" s="113">
        <v>0</v>
      </c>
      <c r="M158" s="113">
        <v>2.057</v>
      </c>
      <c r="N158" s="113">
        <v>0.805</v>
      </c>
      <c r="O158" s="113">
        <v>0</v>
      </c>
      <c r="P158" s="113">
        <v>0</v>
      </c>
      <c r="Q158" s="113">
        <v>0</v>
      </c>
      <c r="R158" s="113">
        <v>0</v>
      </c>
      <c r="S158" s="113">
        <v>0</v>
      </c>
      <c r="T158" s="113">
        <v>0</v>
      </c>
      <c r="U158" s="113">
        <v>0.363</v>
      </c>
      <c r="V158" s="113">
        <v>6.926</v>
      </c>
      <c r="W158" s="106">
        <f t="shared" si="89"/>
        <v>53.71</v>
      </c>
      <c r="X158" s="113">
        <v>42.809</v>
      </c>
      <c r="Y158" s="113">
        <f t="shared" si="90"/>
        <v>3.46</v>
      </c>
      <c r="Z158" s="113">
        <v>0</v>
      </c>
      <c r="AA158" s="113">
        <v>2.21</v>
      </c>
      <c r="AB158" s="113">
        <v>0.86</v>
      </c>
      <c r="AC158" s="113">
        <v>0</v>
      </c>
      <c r="AD158" s="113">
        <v>0</v>
      </c>
      <c r="AE158" s="113">
        <v>0</v>
      </c>
      <c r="AF158" s="113">
        <v>0</v>
      </c>
      <c r="AG158" s="113">
        <v>0</v>
      </c>
      <c r="AH158" s="113">
        <v>0</v>
      </c>
      <c r="AI158" s="113">
        <v>0.39</v>
      </c>
      <c r="AJ158" s="113">
        <v>7.441</v>
      </c>
      <c r="AK158" s="113">
        <f t="shared" si="91"/>
        <v>3.7139999999999986</v>
      </c>
      <c r="AL158" s="151">
        <f t="shared" si="92"/>
        <v>22.283999999999992</v>
      </c>
      <c r="AM158" s="142"/>
      <c r="AN158" s="108">
        <v>148.5</v>
      </c>
      <c r="AO158" s="142"/>
      <c r="AP158" s="142"/>
      <c r="AQ158" s="142"/>
      <c r="AR158" s="142"/>
    </row>
    <row r="159" spans="1:44" s="143" customFormat="1" ht="12.75">
      <c r="A159" s="99"/>
      <c r="B159" s="110" t="s">
        <v>158</v>
      </c>
      <c r="C159" s="111" t="s">
        <v>145</v>
      </c>
      <c r="D159" s="102">
        <f t="shared" si="64"/>
        <v>3.9139130434782614</v>
      </c>
      <c r="E159" s="102">
        <f t="shared" si="65"/>
        <v>4.287173913043479</v>
      </c>
      <c r="F159" s="112">
        <v>5</v>
      </c>
      <c r="G159" s="112">
        <v>4</v>
      </c>
      <c r="H159" s="104">
        <f t="shared" si="63"/>
        <v>236.65200000000004</v>
      </c>
      <c r="I159" s="105">
        <f t="shared" si="88"/>
        <v>19.721000000000004</v>
      </c>
      <c r="J159" s="113">
        <v>18.004</v>
      </c>
      <c r="K159" s="113">
        <f t="shared" si="67"/>
        <v>0.242</v>
      </c>
      <c r="L159" s="113">
        <v>0</v>
      </c>
      <c r="M159" s="113">
        <v>0.242</v>
      </c>
      <c r="N159" s="113">
        <v>0</v>
      </c>
      <c r="O159" s="113">
        <v>0</v>
      </c>
      <c r="P159" s="113">
        <v>0</v>
      </c>
      <c r="Q159" s="113">
        <v>0</v>
      </c>
      <c r="R159" s="113">
        <v>0</v>
      </c>
      <c r="S159" s="113">
        <v>0</v>
      </c>
      <c r="T159" s="113">
        <v>0</v>
      </c>
      <c r="U159" s="113"/>
      <c r="V159" s="113">
        <v>1.475</v>
      </c>
      <c r="W159" s="106">
        <f t="shared" si="89"/>
        <v>21.245</v>
      </c>
      <c r="X159" s="113">
        <v>19.416</v>
      </c>
      <c r="Y159" s="113">
        <f t="shared" si="90"/>
        <v>0.26</v>
      </c>
      <c r="Z159" s="113">
        <v>0</v>
      </c>
      <c r="AA159" s="113">
        <v>0.26</v>
      </c>
      <c r="AB159" s="113">
        <v>0</v>
      </c>
      <c r="AC159" s="113">
        <v>0</v>
      </c>
      <c r="AD159" s="113">
        <v>0</v>
      </c>
      <c r="AE159" s="113">
        <v>0</v>
      </c>
      <c r="AF159" s="113">
        <v>0</v>
      </c>
      <c r="AG159" s="113">
        <v>0</v>
      </c>
      <c r="AH159" s="113">
        <v>0</v>
      </c>
      <c r="AI159" s="113">
        <v>0</v>
      </c>
      <c r="AJ159" s="113">
        <v>1.569</v>
      </c>
      <c r="AK159" s="113">
        <f t="shared" si="91"/>
        <v>1.5239999999999974</v>
      </c>
      <c r="AL159" s="151">
        <f t="shared" si="92"/>
        <v>9.143999999999984</v>
      </c>
      <c r="AM159" s="142"/>
      <c r="AN159" s="108">
        <v>91.143658</v>
      </c>
      <c r="AO159" s="142"/>
      <c r="AP159" s="142"/>
      <c r="AQ159" s="142"/>
      <c r="AR159" s="142"/>
    </row>
    <row r="160" spans="1:44" s="143" customFormat="1" ht="12.75">
      <c r="A160" s="99"/>
      <c r="B160" s="110"/>
      <c r="C160" s="111" t="s">
        <v>146</v>
      </c>
      <c r="D160" s="102">
        <f t="shared" si="64"/>
        <v>3.895130434782609</v>
      </c>
      <c r="E160" s="102">
        <f t="shared" si="65"/>
        <v>4.646260869565217</v>
      </c>
      <c r="F160" s="112">
        <v>5</v>
      </c>
      <c r="G160" s="112">
        <v>5</v>
      </c>
      <c r="H160" s="104">
        <f t="shared" si="63"/>
        <v>320.592</v>
      </c>
      <c r="I160" s="105">
        <f t="shared" si="88"/>
        <v>26.715999999999998</v>
      </c>
      <c r="J160" s="113">
        <v>22.397</v>
      </c>
      <c r="K160" s="113">
        <f t="shared" si="67"/>
        <v>0.726</v>
      </c>
      <c r="L160" s="113">
        <v>0</v>
      </c>
      <c r="M160" s="113">
        <v>0.605</v>
      </c>
      <c r="N160" s="113">
        <v>0</v>
      </c>
      <c r="O160" s="113">
        <v>0</v>
      </c>
      <c r="P160" s="113">
        <v>0</v>
      </c>
      <c r="Q160" s="113">
        <v>0</v>
      </c>
      <c r="R160" s="113">
        <v>0</v>
      </c>
      <c r="S160" s="113">
        <v>0</v>
      </c>
      <c r="T160" s="113">
        <v>0</v>
      </c>
      <c r="U160" s="113">
        <v>0.121</v>
      </c>
      <c r="V160" s="113">
        <v>3.593</v>
      </c>
      <c r="W160" s="106">
        <f t="shared" si="89"/>
        <v>28.703</v>
      </c>
      <c r="X160" s="113">
        <v>24.063</v>
      </c>
      <c r="Y160" s="113">
        <f t="shared" si="90"/>
        <v>0.78</v>
      </c>
      <c r="Z160" s="113">
        <v>0</v>
      </c>
      <c r="AA160" s="113">
        <v>0.65</v>
      </c>
      <c r="AB160" s="113">
        <v>0</v>
      </c>
      <c r="AC160" s="113">
        <v>0</v>
      </c>
      <c r="AD160" s="113">
        <v>0</v>
      </c>
      <c r="AE160" s="113">
        <v>0</v>
      </c>
      <c r="AF160" s="113">
        <v>0</v>
      </c>
      <c r="AG160" s="113">
        <v>0</v>
      </c>
      <c r="AH160" s="113">
        <v>0</v>
      </c>
      <c r="AI160" s="113">
        <v>0.13</v>
      </c>
      <c r="AJ160" s="113">
        <v>3.86</v>
      </c>
      <c r="AK160" s="113">
        <f t="shared" si="91"/>
        <v>1.9870000000000019</v>
      </c>
      <c r="AL160" s="151">
        <f>+AK160*6</f>
        <v>11.922000000000011</v>
      </c>
      <c r="AM160" s="142"/>
      <c r="AN160" s="108">
        <v>30</v>
      </c>
      <c r="AO160" s="142"/>
      <c r="AP160" s="142"/>
      <c r="AQ160" s="142"/>
      <c r="AR160" s="142"/>
    </row>
    <row r="161" spans="1:44" s="143" customFormat="1" ht="12.75">
      <c r="A161" s="99"/>
      <c r="B161" s="110"/>
      <c r="C161" s="111" t="s">
        <v>147</v>
      </c>
      <c r="D161" s="102" t="e">
        <f t="shared" si="64"/>
        <v>#DIV/0!</v>
      </c>
      <c r="E161" s="102" t="e">
        <f t="shared" si="65"/>
        <v>#DIV/0!</v>
      </c>
      <c r="F161" s="112">
        <v>0</v>
      </c>
      <c r="G161" s="112">
        <v>0</v>
      </c>
      <c r="H161" s="104">
        <f t="shared" si="63"/>
        <v>0</v>
      </c>
      <c r="I161" s="105">
        <f t="shared" si="88"/>
        <v>0</v>
      </c>
      <c r="J161" s="113">
        <v>0</v>
      </c>
      <c r="K161" s="113">
        <f t="shared" si="67"/>
        <v>0</v>
      </c>
      <c r="L161" s="113">
        <v>0</v>
      </c>
      <c r="M161" s="113">
        <v>0</v>
      </c>
      <c r="N161" s="113">
        <v>0</v>
      </c>
      <c r="O161" s="113">
        <v>0</v>
      </c>
      <c r="P161" s="113">
        <v>0</v>
      </c>
      <c r="Q161" s="113">
        <v>0</v>
      </c>
      <c r="R161" s="113">
        <v>0</v>
      </c>
      <c r="S161" s="113">
        <v>0</v>
      </c>
      <c r="T161" s="113">
        <v>0</v>
      </c>
      <c r="U161" s="113">
        <v>0</v>
      </c>
      <c r="V161" s="113">
        <v>0</v>
      </c>
      <c r="W161" s="106">
        <f t="shared" si="89"/>
        <v>0</v>
      </c>
      <c r="X161" s="113">
        <v>0</v>
      </c>
      <c r="Y161" s="113">
        <v>0</v>
      </c>
      <c r="Z161" s="113">
        <v>0</v>
      </c>
      <c r="AA161" s="113">
        <v>0</v>
      </c>
      <c r="AB161" s="113">
        <v>0</v>
      </c>
      <c r="AC161" s="113">
        <v>0</v>
      </c>
      <c r="AD161" s="113">
        <v>0</v>
      </c>
      <c r="AE161" s="113">
        <v>0</v>
      </c>
      <c r="AF161" s="113">
        <v>0</v>
      </c>
      <c r="AG161" s="113">
        <v>0</v>
      </c>
      <c r="AH161" s="113">
        <v>0</v>
      </c>
      <c r="AI161" s="113">
        <v>0</v>
      </c>
      <c r="AJ161" s="113">
        <v>0</v>
      </c>
      <c r="AK161" s="113">
        <f t="shared" si="91"/>
        <v>0</v>
      </c>
      <c r="AL161" s="151">
        <v>32.65</v>
      </c>
      <c r="AM161" s="142"/>
      <c r="AN161" s="108">
        <v>632.499995</v>
      </c>
      <c r="AO161" s="142"/>
      <c r="AP161" s="142"/>
      <c r="AQ161" s="142"/>
      <c r="AR161" s="142"/>
    </row>
    <row r="162" spans="1:44" s="143" customFormat="1" ht="12.75">
      <c r="A162" s="99"/>
      <c r="B162" s="110"/>
      <c r="C162" s="111" t="s">
        <v>148</v>
      </c>
      <c r="D162" s="102">
        <f t="shared" si="64"/>
        <v>1.5942028985507246</v>
      </c>
      <c r="E162" s="102">
        <f t="shared" si="65"/>
        <v>2.0869565217391304</v>
      </c>
      <c r="F162" s="112">
        <v>3</v>
      </c>
      <c r="G162" s="112">
        <v>3</v>
      </c>
      <c r="H162" s="104">
        <f t="shared" si="63"/>
        <v>86.4</v>
      </c>
      <c r="I162" s="105">
        <f t="shared" si="88"/>
        <v>7.2</v>
      </c>
      <c r="J162" s="113">
        <v>5.5</v>
      </c>
      <c r="K162" s="113">
        <f t="shared" si="67"/>
        <v>1.2000000000000002</v>
      </c>
      <c r="L162" s="113">
        <v>0</v>
      </c>
      <c r="M162" s="113">
        <v>0.4</v>
      </c>
      <c r="N162" s="113">
        <v>0</v>
      </c>
      <c r="O162" s="113">
        <v>0</v>
      </c>
      <c r="P162" s="113">
        <v>0</v>
      </c>
      <c r="Q162" s="113">
        <v>0</v>
      </c>
      <c r="R162" s="113">
        <v>0</v>
      </c>
      <c r="S162" s="113">
        <v>0</v>
      </c>
      <c r="T162" s="113">
        <v>0</v>
      </c>
      <c r="U162" s="113">
        <v>0.8</v>
      </c>
      <c r="V162" s="113">
        <v>0.5</v>
      </c>
      <c r="W162" s="106">
        <f t="shared" si="89"/>
        <v>7.699999999999999</v>
      </c>
      <c r="X162" s="113">
        <v>5.7</v>
      </c>
      <c r="Y162" s="113">
        <f t="shared" si="90"/>
        <v>1.4</v>
      </c>
      <c r="Z162" s="113">
        <v>0</v>
      </c>
      <c r="AA162" s="113">
        <v>0.5</v>
      </c>
      <c r="AB162" s="113">
        <v>0</v>
      </c>
      <c r="AC162" s="113">
        <v>0</v>
      </c>
      <c r="AD162" s="113">
        <v>0</v>
      </c>
      <c r="AE162" s="113">
        <v>0</v>
      </c>
      <c r="AF162" s="113">
        <v>0</v>
      </c>
      <c r="AG162" s="113">
        <v>0</v>
      </c>
      <c r="AH162" s="113">
        <v>0</v>
      </c>
      <c r="AI162" s="113">
        <v>0.9</v>
      </c>
      <c r="AJ162" s="113">
        <v>0.6</v>
      </c>
      <c r="AK162" s="113">
        <f t="shared" si="91"/>
        <v>0.4999999999999991</v>
      </c>
      <c r="AL162" s="151">
        <f aca="true" t="shared" si="93" ref="AL162:AL167">+AK162*6</f>
        <v>2.9999999999999947</v>
      </c>
      <c r="AM162" s="142"/>
      <c r="AN162" s="108">
        <v>12</v>
      </c>
      <c r="AO162" s="142"/>
      <c r="AP162" s="142"/>
      <c r="AQ162" s="142"/>
      <c r="AR162" s="142"/>
    </row>
    <row r="163" spans="1:44" s="143" customFormat="1" ht="12.75">
      <c r="A163" s="99"/>
      <c r="B163" s="110" t="s">
        <v>158</v>
      </c>
      <c r="C163" s="111" t="s">
        <v>149</v>
      </c>
      <c r="D163" s="102">
        <f t="shared" si="64"/>
        <v>3.5297665903890167</v>
      </c>
      <c r="E163" s="102">
        <f t="shared" si="65"/>
        <v>5.310155606407322</v>
      </c>
      <c r="F163" s="112">
        <v>20</v>
      </c>
      <c r="G163" s="112">
        <v>19</v>
      </c>
      <c r="H163" s="104">
        <f t="shared" si="63"/>
        <v>1392.3228</v>
      </c>
      <c r="I163" s="105">
        <f>+SUM(J163:K163,V163)</f>
        <v>116.02689999999998</v>
      </c>
      <c r="J163" s="113">
        <f>63.74*1.21</f>
        <v>77.1254</v>
      </c>
      <c r="K163" s="113">
        <f>+SUM(L163:U163)</f>
        <v>14.1086</v>
      </c>
      <c r="L163" s="113">
        <v>0</v>
      </c>
      <c r="M163" s="113">
        <f>3.5*1.21</f>
        <v>4.234999999999999</v>
      </c>
      <c r="N163" s="113">
        <v>0</v>
      </c>
      <c r="O163" s="113">
        <v>0</v>
      </c>
      <c r="P163" s="113">
        <v>0</v>
      </c>
      <c r="Q163" s="113">
        <v>0</v>
      </c>
      <c r="R163" s="113">
        <f>6.38*1.21</f>
        <v>7.719799999999999</v>
      </c>
      <c r="S163" s="113">
        <f>0.9*1.21</f>
        <v>1.089</v>
      </c>
      <c r="T163" s="113">
        <v>0</v>
      </c>
      <c r="U163" s="113">
        <f>0.88*1.21</f>
        <v>1.0648</v>
      </c>
      <c r="V163" s="113">
        <f>20.49*1.21</f>
        <v>24.792899999999996</v>
      </c>
      <c r="W163" s="106">
        <f t="shared" si="89"/>
        <v>126.63300000000001</v>
      </c>
      <c r="X163" s="113">
        <f>63.74*1.3</f>
        <v>82.86200000000001</v>
      </c>
      <c r="Y163" s="113">
        <f t="shared" si="90"/>
        <v>15.158000000000001</v>
      </c>
      <c r="Z163" s="113">
        <v>0</v>
      </c>
      <c r="AA163" s="113">
        <f>3.5*1.3</f>
        <v>4.55</v>
      </c>
      <c r="AB163" s="113">
        <v>0</v>
      </c>
      <c r="AC163" s="113">
        <v>0</v>
      </c>
      <c r="AD163" s="113">
        <v>0</v>
      </c>
      <c r="AE163" s="113">
        <v>0</v>
      </c>
      <c r="AF163" s="113">
        <f>6.38*1.3</f>
        <v>8.294</v>
      </c>
      <c r="AG163" s="113">
        <f>0.9*1.3</f>
        <v>1.1700000000000002</v>
      </c>
      <c r="AH163" s="113">
        <v>0</v>
      </c>
      <c r="AI163" s="113">
        <f>0.88*1.3</f>
        <v>1.1440000000000001</v>
      </c>
      <c r="AJ163" s="113">
        <f>22.01*1.3</f>
        <v>28.613000000000003</v>
      </c>
      <c r="AK163" s="113">
        <f t="shared" si="91"/>
        <v>10.606100000000026</v>
      </c>
      <c r="AL163" s="151">
        <f t="shared" si="93"/>
        <v>63.63660000000016</v>
      </c>
      <c r="AM163" s="142"/>
      <c r="AN163" s="108">
        <v>267.3</v>
      </c>
      <c r="AO163" s="142"/>
      <c r="AP163" s="142"/>
      <c r="AQ163" s="142"/>
      <c r="AR163" s="142"/>
    </row>
    <row r="164" spans="1:44" s="143" customFormat="1" ht="12.75">
      <c r="A164" s="99"/>
      <c r="B164" s="110"/>
      <c r="C164" s="141" t="s">
        <v>150</v>
      </c>
      <c r="D164" s="102">
        <f t="shared" si="64"/>
        <v>3.9627329192546585</v>
      </c>
      <c r="E164" s="102">
        <f t="shared" si="65"/>
        <v>4.127950310559006</v>
      </c>
      <c r="F164" s="112">
        <v>7</v>
      </c>
      <c r="G164" s="112">
        <v>7</v>
      </c>
      <c r="H164" s="104">
        <f t="shared" si="63"/>
        <v>398.76</v>
      </c>
      <c r="I164" s="105">
        <f t="shared" si="88"/>
        <v>33.23</v>
      </c>
      <c r="J164" s="113">
        <v>31.9</v>
      </c>
      <c r="K164" s="113">
        <f t="shared" si="67"/>
        <v>0</v>
      </c>
      <c r="L164" s="113">
        <v>0</v>
      </c>
      <c r="M164" s="113">
        <v>0</v>
      </c>
      <c r="N164" s="113">
        <v>0</v>
      </c>
      <c r="O164" s="113">
        <v>0</v>
      </c>
      <c r="P164" s="113">
        <v>0</v>
      </c>
      <c r="Q164" s="113">
        <v>0</v>
      </c>
      <c r="R164" s="113">
        <v>0</v>
      </c>
      <c r="S164" s="113">
        <v>0</v>
      </c>
      <c r="T164" s="113">
        <v>0</v>
      </c>
      <c r="U164" s="113">
        <v>0</v>
      </c>
      <c r="V164" s="113">
        <v>1.33</v>
      </c>
      <c r="W164" s="106">
        <f t="shared" si="89"/>
        <v>35.879999999999995</v>
      </c>
      <c r="X164" s="113">
        <v>34.33</v>
      </c>
      <c r="Y164" s="113">
        <f t="shared" si="90"/>
        <v>0</v>
      </c>
      <c r="Z164" s="113">
        <v>0</v>
      </c>
      <c r="AA164" s="113">
        <v>0</v>
      </c>
      <c r="AB164" s="113">
        <v>0</v>
      </c>
      <c r="AC164" s="113">
        <v>0</v>
      </c>
      <c r="AD164" s="113">
        <v>0</v>
      </c>
      <c r="AE164" s="113">
        <v>0</v>
      </c>
      <c r="AF164" s="113">
        <v>0</v>
      </c>
      <c r="AG164" s="113">
        <v>0</v>
      </c>
      <c r="AH164" s="113">
        <v>0</v>
      </c>
      <c r="AI164" s="113">
        <v>0</v>
      </c>
      <c r="AJ164" s="113">
        <v>1.55</v>
      </c>
      <c r="AK164" s="113">
        <f t="shared" si="91"/>
        <v>2.6499999999999986</v>
      </c>
      <c r="AL164" s="151">
        <f t="shared" si="93"/>
        <v>15.899999999999991</v>
      </c>
      <c r="AM164" s="142"/>
      <c r="AN164" s="108">
        <v>128.1</v>
      </c>
      <c r="AO164" s="142"/>
      <c r="AP164" s="142"/>
      <c r="AQ164" s="142"/>
      <c r="AR164" s="142"/>
    </row>
    <row r="165" spans="1:44" s="143" customFormat="1" ht="12.75">
      <c r="A165" s="99"/>
      <c r="B165" s="110"/>
      <c r="C165" s="111" t="s">
        <v>151</v>
      </c>
      <c r="D165" s="102">
        <f t="shared" si="64"/>
        <v>4.016630434782609</v>
      </c>
      <c r="E165" s="102">
        <f t="shared" si="65"/>
        <v>4.676413043478261</v>
      </c>
      <c r="F165" s="112">
        <v>8</v>
      </c>
      <c r="G165" s="112">
        <v>8</v>
      </c>
      <c r="H165" s="104">
        <f t="shared" si="63"/>
        <v>516.2760000000001</v>
      </c>
      <c r="I165" s="105">
        <f t="shared" si="88"/>
        <v>43.023</v>
      </c>
      <c r="J165" s="113">
        <v>36.953</v>
      </c>
      <c r="K165" s="113">
        <f t="shared" si="67"/>
        <v>0.363</v>
      </c>
      <c r="L165" s="113">
        <v>0</v>
      </c>
      <c r="M165" s="113">
        <v>0</v>
      </c>
      <c r="N165" s="113">
        <v>0</v>
      </c>
      <c r="O165" s="113">
        <v>0</v>
      </c>
      <c r="P165" s="113">
        <v>0</v>
      </c>
      <c r="Q165" s="113">
        <v>0</v>
      </c>
      <c r="R165" s="113">
        <v>0</v>
      </c>
      <c r="S165" s="113">
        <v>0</v>
      </c>
      <c r="T165" s="113"/>
      <c r="U165" s="113">
        <v>0.363</v>
      </c>
      <c r="V165" s="113">
        <v>5.707</v>
      </c>
      <c r="W165" s="106">
        <f t="shared" si="89"/>
        <v>46.873000000000005</v>
      </c>
      <c r="X165" s="113">
        <v>40.323</v>
      </c>
      <c r="Y165" s="113">
        <f t="shared" si="90"/>
        <v>0.39</v>
      </c>
      <c r="Z165" s="113">
        <v>0</v>
      </c>
      <c r="AA165" s="113">
        <v>0</v>
      </c>
      <c r="AB165" s="113">
        <v>0</v>
      </c>
      <c r="AC165" s="113">
        <v>0</v>
      </c>
      <c r="AD165" s="113">
        <v>0</v>
      </c>
      <c r="AE165" s="113">
        <v>0</v>
      </c>
      <c r="AF165" s="113">
        <v>0</v>
      </c>
      <c r="AG165" s="113">
        <v>0</v>
      </c>
      <c r="AH165" s="113">
        <v>0</v>
      </c>
      <c r="AI165" s="113">
        <v>0.39</v>
      </c>
      <c r="AJ165" s="113">
        <v>6.16</v>
      </c>
      <c r="AK165" s="113">
        <f t="shared" si="91"/>
        <v>3.8500000000000014</v>
      </c>
      <c r="AL165" s="151">
        <f t="shared" si="93"/>
        <v>23.10000000000001</v>
      </c>
      <c r="AM165" s="142"/>
      <c r="AN165" s="108">
        <v>96.025471</v>
      </c>
      <c r="AO165" s="142"/>
      <c r="AP165" s="142"/>
      <c r="AQ165" s="142"/>
      <c r="AR165" s="142"/>
    </row>
    <row r="166" spans="1:44" s="143" customFormat="1" ht="25.5">
      <c r="A166" s="99"/>
      <c r="B166" s="110" t="s">
        <v>158</v>
      </c>
      <c r="C166" s="111" t="s">
        <v>152</v>
      </c>
      <c r="D166" s="102">
        <f t="shared" si="64"/>
        <v>3.664596273291926</v>
      </c>
      <c r="E166" s="102">
        <f t="shared" si="65"/>
        <v>4.281987577639752</v>
      </c>
      <c r="F166" s="112">
        <v>7</v>
      </c>
      <c r="G166" s="112">
        <v>7</v>
      </c>
      <c r="H166" s="104">
        <f t="shared" si="63"/>
        <v>413.64</v>
      </c>
      <c r="I166" s="105">
        <f t="shared" si="88"/>
        <v>34.47</v>
      </c>
      <c r="J166" s="113">
        <v>29.5</v>
      </c>
      <c r="K166" s="113">
        <f t="shared" si="67"/>
        <v>0.968</v>
      </c>
      <c r="L166" s="113">
        <v>0</v>
      </c>
      <c r="M166" s="113">
        <v>0.363</v>
      </c>
      <c r="N166" s="113">
        <v>0</v>
      </c>
      <c r="O166" s="113">
        <v>0</v>
      </c>
      <c r="P166" s="113">
        <v>0</v>
      </c>
      <c r="Q166" s="113">
        <v>0</v>
      </c>
      <c r="R166" s="113">
        <v>0</v>
      </c>
      <c r="S166" s="113">
        <v>0.363</v>
      </c>
      <c r="T166" s="113">
        <v>0</v>
      </c>
      <c r="U166" s="113">
        <v>0.242</v>
      </c>
      <c r="V166" s="113">
        <v>4.002</v>
      </c>
      <c r="W166" s="106">
        <f t="shared" si="89"/>
        <v>37.04</v>
      </c>
      <c r="X166" s="113">
        <v>31.7</v>
      </c>
      <c r="Y166" s="113">
        <f t="shared" si="90"/>
        <v>1.04</v>
      </c>
      <c r="Z166" s="113">
        <v>0</v>
      </c>
      <c r="AA166" s="113">
        <v>0.39</v>
      </c>
      <c r="AB166" s="113">
        <v>0</v>
      </c>
      <c r="AC166" s="113">
        <v>0</v>
      </c>
      <c r="AD166" s="113">
        <v>0</v>
      </c>
      <c r="AE166" s="113">
        <v>0</v>
      </c>
      <c r="AF166" s="113">
        <v>0</v>
      </c>
      <c r="AG166" s="113">
        <v>0.39</v>
      </c>
      <c r="AH166" s="113">
        <v>0</v>
      </c>
      <c r="AI166" s="113">
        <v>0.26</v>
      </c>
      <c r="AJ166" s="113">
        <v>4.3</v>
      </c>
      <c r="AK166" s="113">
        <f t="shared" si="91"/>
        <v>2.5700000000000003</v>
      </c>
      <c r="AL166" s="151">
        <f t="shared" si="93"/>
        <v>15.420000000000002</v>
      </c>
      <c r="AM166" s="142"/>
      <c r="AN166" s="108">
        <v>209.948007</v>
      </c>
      <c r="AO166" s="142"/>
      <c r="AP166" s="142"/>
      <c r="AQ166" s="142"/>
      <c r="AR166" s="142"/>
    </row>
    <row r="167" spans="1:44" s="143" customFormat="1" ht="25.5">
      <c r="A167" s="99"/>
      <c r="B167" s="110" t="s">
        <v>158</v>
      </c>
      <c r="C167" s="111" t="s">
        <v>153</v>
      </c>
      <c r="D167" s="102">
        <f t="shared" si="64"/>
        <v>3.3043478260869565</v>
      </c>
      <c r="E167" s="102">
        <f t="shared" si="65"/>
        <v>3.3913043478260874</v>
      </c>
      <c r="F167" s="112">
        <v>6</v>
      </c>
      <c r="G167" s="112">
        <v>5</v>
      </c>
      <c r="H167" s="104">
        <f t="shared" si="63"/>
        <v>234</v>
      </c>
      <c r="I167" s="105">
        <f t="shared" si="88"/>
        <v>19.5</v>
      </c>
      <c r="J167" s="113">
        <v>19</v>
      </c>
      <c r="K167" s="113">
        <f t="shared" si="67"/>
        <v>0.2</v>
      </c>
      <c r="L167" s="113">
        <v>0</v>
      </c>
      <c r="M167" s="113">
        <v>0</v>
      </c>
      <c r="N167" s="113">
        <v>0</v>
      </c>
      <c r="O167" s="113">
        <v>0</v>
      </c>
      <c r="P167" s="113">
        <v>0</v>
      </c>
      <c r="Q167" s="113">
        <v>0</v>
      </c>
      <c r="R167" s="113">
        <v>0</v>
      </c>
      <c r="S167" s="113">
        <v>0</v>
      </c>
      <c r="T167" s="113">
        <v>0</v>
      </c>
      <c r="U167" s="113">
        <v>0.2</v>
      </c>
      <c r="V167" s="113">
        <v>0.3</v>
      </c>
      <c r="W167" s="106">
        <f t="shared" si="89"/>
        <v>21.7</v>
      </c>
      <c r="X167" s="113">
        <v>21</v>
      </c>
      <c r="Y167" s="113">
        <f t="shared" si="90"/>
        <v>0.3</v>
      </c>
      <c r="Z167" s="113">
        <v>0</v>
      </c>
      <c r="AA167" s="113">
        <v>0</v>
      </c>
      <c r="AB167" s="113">
        <v>0</v>
      </c>
      <c r="AC167" s="113">
        <v>0</v>
      </c>
      <c r="AD167" s="113">
        <v>0</v>
      </c>
      <c r="AE167" s="113">
        <v>0</v>
      </c>
      <c r="AF167" s="113">
        <v>0</v>
      </c>
      <c r="AG167" s="113">
        <v>0</v>
      </c>
      <c r="AH167" s="113">
        <v>0</v>
      </c>
      <c r="AI167" s="113">
        <v>0.3</v>
      </c>
      <c r="AJ167" s="113">
        <v>0.4</v>
      </c>
      <c r="AK167" s="113">
        <f t="shared" si="91"/>
        <v>2.1999999999999993</v>
      </c>
      <c r="AL167" s="151">
        <f t="shared" si="93"/>
        <v>13.199999999999996</v>
      </c>
      <c r="AM167" s="142"/>
      <c r="AN167" s="108">
        <v>126</v>
      </c>
      <c r="AO167" s="142"/>
      <c r="AP167" s="142"/>
      <c r="AQ167" s="142"/>
      <c r="AR167" s="142"/>
    </row>
    <row r="168" spans="1:44" s="143" customFormat="1" ht="12.75">
      <c r="A168" s="99"/>
      <c r="B168" s="110" t="s">
        <v>158</v>
      </c>
      <c r="C168" s="141" t="s">
        <v>154</v>
      </c>
      <c r="D168" s="102">
        <f t="shared" si="64"/>
        <v>4.173333333333334</v>
      </c>
      <c r="E168" s="102">
        <f t="shared" si="65"/>
        <v>5.174975845410629</v>
      </c>
      <c r="F168" s="112">
        <v>9</v>
      </c>
      <c r="G168" s="112">
        <v>9</v>
      </c>
      <c r="H168" s="104">
        <f t="shared" si="63"/>
        <v>642.7320000000001</v>
      </c>
      <c r="I168" s="105">
        <f t="shared" si="88"/>
        <v>53.56100000000001</v>
      </c>
      <c r="J168" s="113">
        <f>37.56*1.15</f>
        <v>43.194</v>
      </c>
      <c r="K168" s="113">
        <f t="shared" si="67"/>
        <v>0</v>
      </c>
      <c r="L168" s="113">
        <v>0</v>
      </c>
      <c r="M168" s="113">
        <v>0</v>
      </c>
      <c r="N168" s="113">
        <v>0</v>
      </c>
      <c r="O168" s="113">
        <v>0</v>
      </c>
      <c r="P168" s="113">
        <v>0</v>
      </c>
      <c r="Q168" s="113">
        <v>0</v>
      </c>
      <c r="R168" s="113">
        <v>0</v>
      </c>
      <c r="S168" s="113">
        <v>0</v>
      </c>
      <c r="T168" s="113">
        <v>0</v>
      </c>
      <c r="U168" s="113">
        <v>0</v>
      </c>
      <c r="V168" s="113">
        <v>10.367</v>
      </c>
      <c r="W168" s="106">
        <f t="shared" si="89"/>
        <v>56.354600000000005</v>
      </c>
      <c r="X168" s="113">
        <f>J168/1.15*1.21</f>
        <v>45.4476</v>
      </c>
      <c r="Y168" s="113">
        <f t="shared" si="90"/>
        <v>0</v>
      </c>
      <c r="Z168" s="113">
        <v>0</v>
      </c>
      <c r="AA168" s="113">
        <v>0</v>
      </c>
      <c r="AB168" s="113">
        <v>0</v>
      </c>
      <c r="AC168" s="113">
        <v>0</v>
      </c>
      <c r="AD168" s="113">
        <v>0</v>
      </c>
      <c r="AE168" s="113">
        <v>0</v>
      </c>
      <c r="AF168" s="113">
        <v>0</v>
      </c>
      <c r="AG168" s="113">
        <v>0</v>
      </c>
      <c r="AH168" s="113">
        <v>0</v>
      </c>
      <c r="AI168" s="113">
        <v>0</v>
      </c>
      <c r="AJ168" s="113">
        <v>10.907</v>
      </c>
      <c r="AK168" s="113">
        <f t="shared" si="91"/>
        <v>2.793599999999998</v>
      </c>
      <c r="AL168" s="151">
        <f>+AK168*8</f>
        <v>22.348799999999983</v>
      </c>
      <c r="AM168" s="142"/>
      <c r="AN168" s="108">
        <v>0</v>
      </c>
      <c r="AO168" s="142"/>
      <c r="AP168" s="142"/>
      <c r="AQ168" s="142"/>
      <c r="AR168" s="142"/>
    </row>
    <row r="169" spans="1:44" s="143" customFormat="1" ht="25.5">
      <c r="A169" s="99"/>
      <c r="B169" s="110"/>
      <c r="C169" s="111" t="s">
        <v>347</v>
      </c>
      <c r="D169" s="102">
        <f t="shared" si="64"/>
        <v>4.507246376811595</v>
      </c>
      <c r="E169" s="102">
        <f t="shared" si="65"/>
        <v>4.559420289855073</v>
      </c>
      <c r="F169" s="112">
        <v>6</v>
      </c>
      <c r="G169" s="112">
        <v>6</v>
      </c>
      <c r="H169" s="104">
        <f t="shared" si="63"/>
        <v>377.52</v>
      </c>
      <c r="I169" s="105">
        <f t="shared" si="88"/>
        <v>31.46</v>
      </c>
      <c r="J169" s="113">
        <v>31.1</v>
      </c>
      <c r="K169" s="113">
        <f t="shared" si="67"/>
        <v>0.36</v>
      </c>
      <c r="L169" s="113">
        <v>0</v>
      </c>
      <c r="M169" s="113">
        <v>0</v>
      </c>
      <c r="N169" s="113">
        <v>0</v>
      </c>
      <c r="O169" s="113">
        <v>0</v>
      </c>
      <c r="P169" s="113">
        <v>0</v>
      </c>
      <c r="Q169" s="113">
        <v>0</v>
      </c>
      <c r="R169" s="113">
        <v>0</v>
      </c>
      <c r="S169" s="113">
        <v>0</v>
      </c>
      <c r="T169" s="113">
        <v>0</v>
      </c>
      <c r="U169" s="113">
        <v>0.36</v>
      </c>
      <c r="V169" s="113">
        <v>0</v>
      </c>
      <c r="W169" s="106">
        <f t="shared" si="89"/>
        <v>33.410000000000004</v>
      </c>
      <c r="X169" s="113">
        <v>33.02</v>
      </c>
      <c r="Y169" s="80">
        <f t="shared" si="90"/>
        <v>0.39</v>
      </c>
      <c r="Z169" s="113">
        <v>0</v>
      </c>
      <c r="AA169" s="113">
        <v>0</v>
      </c>
      <c r="AB169" s="113">
        <v>0</v>
      </c>
      <c r="AC169" s="113">
        <v>0</v>
      </c>
      <c r="AD169" s="113">
        <v>0</v>
      </c>
      <c r="AE169" s="113">
        <v>0</v>
      </c>
      <c r="AF169" s="113">
        <v>0</v>
      </c>
      <c r="AG169" s="113">
        <v>0</v>
      </c>
      <c r="AH169" s="113">
        <v>0</v>
      </c>
      <c r="AI169" s="113">
        <v>0.39</v>
      </c>
      <c r="AJ169" s="113">
        <v>0</v>
      </c>
      <c r="AK169" s="113">
        <f t="shared" si="91"/>
        <v>1.9500000000000028</v>
      </c>
      <c r="AL169" s="151">
        <f>+AK169*6</f>
        <v>11.700000000000017</v>
      </c>
      <c r="AM169" s="142"/>
      <c r="AN169" s="108">
        <v>203.9322</v>
      </c>
      <c r="AO169" s="142"/>
      <c r="AP169" s="142"/>
      <c r="AQ169" s="142"/>
      <c r="AR169" s="142"/>
    </row>
    <row r="170" spans="1:44" s="83" customFormat="1" ht="25.5">
      <c r="A170" s="70"/>
      <c r="B170" s="76"/>
      <c r="C170" s="77" t="s">
        <v>42</v>
      </c>
      <c r="D170" s="77"/>
      <c r="E170" s="77"/>
      <c r="F170" s="78"/>
      <c r="G170" s="78"/>
      <c r="H170" s="78"/>
      <c r="I170" s="79"/>
      <c r="J170" s="80"/>
      <c r="K170" s="80"/>
      <c r="L170" s="80"/>
      <c r="M170" s="80"/>
      <c r="N170" s="80"/>
      <c r="O170" s="80"/>
      <c r="P170" s="80"/>
      <c r="Q170" s="80"/>
      <c r="R170" s="80"/>
      <c r="S170" s="80"/>
      <c r="T170" s="80"/>
      <c r="U170" s="80"/>
      <c r="V170" s="80"/>
      <c r="W170" s="81"/>
      <c r="X170" s="80"/>
      <c r="Y170" s="80"/>
      <c r="Z170" s="80"/>
      <c r="AA170" s="80"/>
      <c r="AB170" s="80"/>
      <c r="AC170" s="80"/>
      <c r="AD170" s="80"/>
      <c r="AE170" s="80"/>
      <c r="AF170" s="80"/>
      <c r="AG170" s="80"/>
      <c r="AH170" s="80"/>
      <c r="AI170" s="80"/>
      <c r="AJ170" s="80"/>
      <c r="AK170" s="80"/>
      <c r="AL170" s="149"/>
      <c r="AM170" s="82"/>
      <c r="AN170" s="82"/>
      <c r="AO170" s="82"/>
      <c r="AP170" s="82"/>
      <c r="AQ170" s="82"/>
      <c r="AR170" s="82"/>
    </row>
    <row r="171" spans="1:44" s="83" customFormat="1" ht="25.5">
      <c r="A171" s="70"/>
      <c r="B171" s="71" t="s">
        <v>43</v>
      </c>
      <c r="C171" s="72" t="s">
        <v>44</v>
      </c>
      <c r="D171" s="72"/>
      <c r="E171" s="72"/>
      <c r="F171" s="78"/>
      <c r="G171" s="78"/>
      <c r="H171" s="78"/>
      <c r="I171" s="79"/>
      <c r="J171" s="80"/>
      <c r="K171" s="80"/>
      <c r="L171" s="80"/>
      <c r="M171" s="80"/>
      <c r="N171" s="80"/>
      <c r="O171" s="80"/>
      <c r="P171" s="80"/>
      <c r="Q171" s="80"/>
      <c r="R171" s="80"/>
      <c r="S171" s="80"/>
      <c r="T171" s="80"/>
      <c r="U171" s="80"/>
      <c r="V171" s="80"/>
      <c r="W171" s="81"/>
      <c r="X171" s="80"/>
      <c r="Y171" s="80"/>
      <c r="Z171" s="80"/>
      <c r="AA171" s="80"/>
      <c r="AB171" s="80"/>
      <c r="AC171" s="80"/>
      <c r="AD171" s="80"/>
      <c r="AE171" s="80"/>
      <c r="AF171" s="80"/>
      <c r="AG171" s="80"/>
      <c r="AH171" s="80"/>
      <c r="AI171" s="80"/>
      <c r="AJ171" s="80"/>
      <c r="AK171" s="80"/>
      <c r="AL171" s="149"/>
      <c r="AM171" s="82"/>
      <c r="AN171" s="82"/>
      <c r="AO171" s="82"/>
      <c r="AP171" s="82"/>
      <c r="AQ171" s="82"/>
      <c r="AR171" s="82"/>
    </row>
    <row r="172" spans="1:44" s="83" customFormat="1" ht="25.5">
      <c r="A172" s="70"/>
      <c r="B172" s="71" t="s">
        <v>45</v>
      </c>
      <c r="C172" s="72" t="s">
        <v>46</v>
      </c>
      <c r="D172" s="72"/>
      <c r="E172" s="72"/>
      <c r="F172" s="78"/>
      <c r="G172" s="78"/>
      <c r="H172" s="78"/>
      <c r="I172" s="79">
        <f>+K173</f>
        <v>0</v>
      </c>
      <c r="J172" s="80"/>
      <c r="K172" s="80"/>
      <c r="L172" s="80"/>
      <c r="M172" s="80"/>
      <c r="N172" s="80"/>
      <c r="O172" s="80"/>
      <c r="P172" s="80"/>
      <c r="Q172" s="80"/>
      <c r="R172" s="80"/>
      <c r="S172" s="80"/>
      <c r="T172" s="80"/>
      <c r="U172" s="80"/>
      <c r="V172" s="80"/>
      <c r="W172" s="81">
        <f>+W173</f>
        <v>60.7823</v>
      </c>
      <c r="X172" s="80"/>
      <c r="Y172" s="80"/>
      <c r="Z172" s="80"/>
      <c r="AA172" s="80"/>
      <c r="AB172" s="80"/>
      <c r="AC172" s="80"/>
      <c r="AD172" s="80"/>
      <c r="AE172" s="80"/>
      <c r="AF172" s="80"/>
      <c r="AG172" s="80"/>
      <c r="AH172" s="80"/>
      <c r="AI172" s="80"/>
      <c r="AJ172" s="80"/>
      <c r="AK172" s="80"/>
      <c r="AL172" s="149"/>
      <c r="AM172" s="82"/>
      <c r="AN172" s="82"/>
      <c r="AO172" s="82"/>
      <c r="AP172" s="82"/>
      <c r="AQ172" s="82"/>
      <c r="AR172" s="82"/>
    </row>
    <row r="173" spans="1:44" s="83" customFormat="1" ht="12.75">
      <c r="A173" s="70">
        <v>0</v>
      </c>
      <c r="B173" s="76"/>
      <c r="C173" s="77" t="s">
        <v>47</v>
      </c>
      <c r="D173" s="77"/>
      <c r="E173" s="77"/>
      <c r="F173" s="78"/>
      <c r="G173" s="78"/>
      <c r="H173" s="78"/>
      <c r="I173" s="79"/>
      <c r="J173" s="80">
        <v>0</v>
      </c>
      <c r="K173" s="80">
        <v>0</v>
      </c>
      <c r="L173" s="80">
        <v>0</v>
      </c>
      <c r="M173" s="80">
        <v>0</v>
      </c>
      <c r="N173" s="80">
        <v>0</v>
      </c>
      <c r="O173" s="80">
        <v>0</v>
      </c>
      <c r="P173" s="80">
        <v>0</v>
      </c>
      <c r="Q173" s="80">
        <v>0</v>
      </c>
      <c r="R173" s="80">
        <v>0</v>
      </c>
      <c r="S173" s="80">
        <v>0</v>
      </c>
      <c r="T173" s="80">
        <v>0</v>
      </c>
      <c r="U173" s="80">
        <v>57.77</v>
      </c>
      <c r="V173" s="80">
        <v>0</v>
      </c>
      <c r="W173" s="81">
        <f>+SUM(X173:Y173,AJ173)</f>
        <v>60.7823</v>
      </c>
      <c r="X173" s="80">
        <v>0</v>
      </c>
      <c r="Y173" s="80">
        <v>60.7823</v>
      </c>
      <c r="Z173" s="80">
        <v>0</v>
      </c>
      <c r="AA173" s="80">
        <v>0</v>
      </c>
      <c r="AB173" s="80">
        <v>0</v>
      </c>
      <c r="AC173" s="80">
        <v>0</v>
      </c>
      <c r="AD173" s="80">
        <v>0</v>
      </c>
      <c r="AE173" s="80">
        <v>0</v>
      </c>
      <c r="AF173" s="80">
        <v>0</v>
      </c>
      <c r="AG173" s="80">
        <v>0</v>
      </c>
      <c r="AH173" s="80">
        <v>0</v>
      </c>
      <c r="AI173" s="80">
        <v>60.782</v>
      </c>
      <c r="AJ173" s="80">
        <v>0</v>
      </c>
      <c r="AK173" s="80">
        <f>+Y173-K173</f>
        <v>60.7823</v>
      </c>
      <c r="AL173" s="149">
        <f>+AK173*8</f>
        <v>486.2584</v>
      </c>
      <c r="AM173" s="82"/>
      <c r="AN173" s="82"/>
      <c r="AO173" s="82"/>
      <c r="AP173" s="82"/>
      <c r="AQ173" s="82"/>
      <c r="AR173" s="82"/>
    </row>
    <row r="174" spans="1:44" s="83" customFormat="1" ht="12.75">
      <c r="A174" s="70"/>
      <c r="B174" s="76"/>
      <c r="C174" s="77" t="s">
        <v>48</v>
      </c>
      <c r="D174" s="77"/>
      <c r="E174" s="77"/>
      <c r="F174" s="78"/>
      <c r="G174" s="78"/>
      <c r="H174" s="78"/>
      <c r="I174" s="79"/>
      <c r="J174" s="80"/>
      <c r="K174" s="80"/>
      <c r="L174" s="80"/>
      <c r="M174" s="80"/>
      <c r="N174" s="80"/>
      <c r="O174" s="80"/>
      <c r="P174" s="80"/>
      <c r="Q174" s="80"/>
      <c r="R174" s="80"/>
      <c r="S174" s="80"/>
      <c r="T174" s="80"/>
      <c r="U174" s="80"/>
      <c r="V174" s="80"/>
      <c r="W174" s="81"/>
      <c r="X174" s="80"/>
      <c r="Y174" s="80"/>
      <c r="Z174" s="80"/>
      <c r="AA174" s="80"/>
      <c r="AB174" s="80"/>
      <c r="AC174" s="80"/>
      <c r="AD174" s="80"/>
      <c r="AE174" s="80"/>
      <c r="AF174" s="80"/>
      <c r="AG174" s="80"/>
      <c r="AH174" s="80"/>
      <c r="AI174" s="80"/>
      <c r="AJ174" s="80"/>
      <c r="AK174" s="80"/>
      <c r="AL174" s="149"/>
      <c r="AM174" s="82"/>
      <c r="AN174" s="82"/>
      <c r="AO174" s="82"/>
      <c r="AP174" s="82"/>
      <c r="AQ174" s="82"/>
      <c r="AR174" s="82"/>
    </row>
    <row r="175" spans="1:44" s="83" customFormat="1" ht="12.75">
      <c r="A175" s="70"/>
      <c r="B175" s="76"/>
      <c r="C175" s="77" t="s">
        <v>49</v>
      </c>
      <c r="D175" s="77"/>
      <c r="E175" s="77"/>
      <c r="F175" s="78"/>
      <c r="G175" s="78"/>
      <c r="H175" s="78"/>
      <c r="I175" s="79"/>
      <c r="J175" s="80"/>
      <c r="K175" s="80"/>
      <c r="L175" s="80"/>
      <c r="M175" s="80"/>
      <c r="N175" s="80"/>
      <c r="O175" s="80"/>
      <c r="P175" s="80"/>
      <c r="Q175" s="80"/>
      <c r="R175" s="80"/>
      <c r="S175" s="80"/>
      <c r="T175" s="80"/>
      <c r="U175" s="80"/>
      <c r="V175" s="80"/>
      <c r="W175" s="81"/>
      <c r="X175" s="80"/>
      <c r="Y175" s="80"/>
      <c r="Z175" s="80"/>
      <c r="AA175" s="80"/>
      <c r="AB175" s="80"/>
      <c r="AC175" s="80"/>
      <c r="AD175" s="80"/>
      <c r="AE175" s="80"/>
      <c r="AF175" s="80"/>
      <c r="AG175" s="80"/>
      <c r="AH175" s="80"/>
      <c r="AI175" s="80"/>
      <c r="AJ175" s="80"/>
      <c r="AK175" s="80"/>
      <c r="AL175" s="149"/>
      <c r="AM175" s="82"/>
      <c r="AN175" s="82"/>
      <c r="AO175" s="82"/>
      <c r="AP175" s="82"/>
      <c r="AQ175" s="82"/>
      <c r="AR175" s="82"/>
    </row>
    <row r="176" spans="1:44" s="83" customFormat="1" ht="25.5">
      <c r="A176" s="70"/>
      <c r="B176" s="71" t="s">
        <v>50</v>
      </c>
      <c r="C176" s="72" t="s">
        <v>51</v>
      </c>
      <c r="D176" s="72"/>
      <c r="E176" s="72"/>
      <c r="F176" s="78"/>
      <c r="G176" s="78"/>
      <c r="H176" s="78"/>
      <c r="I176" s="79">
        <f>+I177</f>
        <v>2.415</v>
      </c>
      <c r="J176" s="80"/>
      <c r="K176" s="80"/>
      <c r="L176" s="80"/>
      <c r="M176" s="80"/>
      <c r="N176" s="80"/>
      <c r="O176" s="80"/>
      <c r="P176" s="80"/>
      <c r="Q176" s="80"/>
      <c r="R176" s="80"/>
      <c r="S176" s="80"/>
      <c r="T176" s="80"/>
      <c r="U176" s="80"/>
      <c r="V176" s="80"/>
      <c r="W176" s="81">
        <f>+W177</f>
        <v>2.541</v>
      </c>
      <c r="X176" s="80"/>
      <c r="Y176" s="80"/>
      <c r="Z176" s="80"/>
      <c r="AA176" s="80"/>
      <c r="AB176" s="80"/>
      <c r="AC176" s="80"/>
      <c r="AD176" s="80"/>
      <c r="AE176" s="80"/>
      <c r="AF176" s="80"/>
      <c r="AG176" s="80"/>
      <c r="AH176" s="80"/>
      <c r="AI176" s="80"/>
      <c r="AJ176" s="80"/>
      <c r="AK176" s="80"/>
      <c r="AL176" s="149"/>
      <c r="AM176" s="82"/>
      <c r="AN176" s="82"/>
      <c r="AO176" s="82"/>
      <c r="AP176" s="82"/>
      <c r="AQ176" s="82"/>
      <c r="AR176" s="82"/>
    </row>
    <row r="177" spans="1:44" s="83" customFormat="1" ht="12.75">
      <c r="A177" s="70"/>
      <c r="B177" s="76"/>
      <c r="C177" s="77" t="s">
        <v>52</v>
      </c>
      <c r="D177" s="77"/>
      <c r="E177" s="77"/>
      <c r="F177" s="78"/>
      <c r="G177" s="78"/>
      <c r="H177" s="78"/>
      <c r="I177" s="79">
        <f>+I178</f>
        <v>2.415</v>
      </c>
      <c r="J177" s="80"/>
      <c r="K177" s="80"/>
      <c r="L177" s="80"/>
      <c r="M177" s="80"/>
      <c r="N177" s="80"/>
      <c r="O177" s="80"/>
      <c r="P177" s="80"/>
      <c r="Q177" s="80"/>
      <c r="R177" s="80"/>
      <c r="S177" s="80"/>
      <c r="T177" s="80"/>
      <c r="U177" s="80"/>
      <c r="V177" s="80"/>
      <c r="W177" s="81">
        <f>+W178</f>
        <v>2.541</v>
      </c>
      <c r="X177" s="80"/>
      <c r="Y177" s="80"/>
      <c r="Z177" s="80"/>
      <c r="AA177" s="80"/>
      <c r="AB177" s="80"/>
      <c r="AC177" s="80"/>
      <c r="AD177" s="80"/>
      <c r="AE177" s="80"/>
      <c r="AF177" s="80"/>
      <c r="AG177" s="80"/>
      <c r="AH177" s="80"/>
      <c r="AI177" s="80"/>
      <c r="AJ177" s="80"/>
      <c r="AK177" s="80"/>
      <c r="AL177" s="149"/>
      <c r="AM177" s="82"/>
      <c r="AN177" s="82"/>
      <c r="AO177" s="82"/>
      <c r="AP177" s="82"/>
      <c r="AQ177" s="82"/>
      <c r="AR177" s="82"/>
    </row>
    <row r="178" spans="1:44" s="83" customFormat="1" ht="12.75">
      <c r="A178" s="70"/>
      <c r="B178" s="76"/>
      <c r="C178" s="94" t="s">
        <v>170</v>
      </c>
      <c r="D178" s="95"/>
      <c r="E178" s="95"/>
      <c r="F178" s="96"/>
      <c r="G178" s="96">
        <v>7</v>
      </c>
      <c r="H178" s="96"/>
      <c r="I178" s="79">
        <f>+SUM(J178:K178,V178)</f>
        <v>2.415</v>
      </c>
      <c r="J178" s="97">
        <v>0</v>
      </c>
      <c r="K178" s="80">
        <f>+SUM(L178:U178)</f>
        <v>2.415</v>
      </c>
      <c r="L178" s="80">
        <v>0</v>
      </c>
      <c r="M178" s="80">
        <v>0</v>
      </c>
      <c r="N178" s="80">
        <v>0</v>
      </c>
      <c r="O178" s="80">
        <v>0</v>
      </c>
      <c r="P178" s="80">
        <v>0</v>
      </c>
      <c r="Q178" s="80">
        <v>0</v>
      </c>
      <c r="R178" s="80">
        <v>0</v>
      </c>
      <c r="S178" s="80">
        <v>2.415</v>
      </c>
      <c r="T178" s="80">
        <v>0</v>
      </c>
      <c r="U178" s="80">
        <v>0</v>
      </c>
      <c r="V178" s="80">
        <v>0</v>
      </c>
      <c r="W178" s="81">
        <f>+SUM(X178:Y178,AJ178)</f>
        <v>2.541</v>
      </c>
      <c r="X178" s="80">
        <v>0</v>
      </c>
      <c r="Y178" s="80">
        <f>+SUM(Z178:AI178)</f>
        <v>2.541</v>
      </c>
      <c r="Z178" s="80">
        <v>0</v>
      </c>
      <c r="AA178" s="80">
        <v>0</v>
      </c>
      <c r="AB178" s="80">
        <v>0</v>
      </c>
      <c r="AC178" s="80">
        <v>0</v>
      </c>
      <c r="AD178" s="80">
        <v>0</v>
      </c>
      <c r="AE178" s="80">
        <v>0</v>
      </c>
      <c r="AF178" s="80">
        <v>0</v>
      </c>
      <c r="AG178" s="80">
        <v>2.541</v>
      </c>
      <c r="AH178" s="80">
        <v>0</v>
      </c>
      <c r="AI178" s="80">
        <v>0</v>
      </c>
      <c r="AJ178" s="80">
        <v>0</v>
      </c>
      <c r="AK178" s="80">
        <f>+Y178-K178</f>
        <v>0.1259999999999999</v>
      </c>
      <c r="AL178" s="149">
        <f>+AK178*8</f>
        <v>1.0079999999999991</v>
      </c>
      <c r="AM178" s="82"/>
      <c r="AN178" s="82"/>
      <c r="AO178" s="82"/>
      <c r="AP178" s="82"/>
      <c r="AQ178" s="82"/>
      <c r="AR178" s="82"/>
    </row>
    <row r="179" spans="1:44" s="83" customFormat="1" ht="12.75" customHeight="1">
      <c r="A179" s="70"/>
      <c r="B179" s="76"/>
      <c r="C179" s="685" t="s">
        <v>53</v>
      </c>
      <c r="D179" s="686"/>
      <c r="E179" s="686"/>
      <c r="F179" s="686"/>
      <c r="G179" s="686"/>
      <c r="H179" s="686"/>
      <c r="I179" s="686"/>
      <c r="J179" s="687"/>
      <c r="K179" s="78"/>
      <c r="L179" s="78"/>
      <c r="M179" s="78"/>
      <c r="N179" s="78"/>
      <c r="O179" s="78"/>
      <c r="P179" s="78"/>
      <c r="Q179" s="78"/>
      <c r="R179" s="78"/>
      <c r="S179" s="78"/>
      <c r="T179" s="78"/>
      <c r="U179" s="78"/>
      <c r="V179" s="78"/>
      <c r="W179" s="98"/>
      <c r="X179" s="78"/>
      <c r="Y179" s="78"/>
      <c r="Z179" s="78"/>
      <c r="AA179" s="78"/>
      <c r="AB179" s="78"/>
      <c r="AC179" s="78"/>
      <c r="AD179" s="78"/>
      <c r="AE179" s="78"/>
      <c r="AF179" s="78"/>
      <c r="AG179" s="78"/>
      <c r="AH179" s="78"/>
      <c r="AI179" s="78"/>
      <c r="AJ179" s="78"/>
      <c r="AK179" s="78"/>
      <c r="AL179" s="126"/>
      <c r="AM179" s="82"/>
      <c r="AN179" s="82"/>
      <c r="AO179" s="82"/>
      <c r="AP179" s="82"/>
      <c r="AQ179" s="82"/>
      <c r="AR179" s="82"/>
    </row>
    <row r="180" spans="1:44" s="83" customFormat="1" ht="12.75">
      <c r="A180" s="70"/>
      <c r="B180" s="76"/>
      <c r="C180" s="77" t="s">
        <v>54</v>
      </c>
      <c r="D180" s="77"/>
      <c r="E180" s="77"/>
      <c r="F180" s="78"/>
      <c r="G180" s="78"/>
      <c r="H180" s="78"/>
      <c r="I180" s="72"/>
      <c r="J180" s="78"/>
      <c r="K180" s="78"/>
      <c r="L180" s="78"/>
      <c r="M180" s="78"/>
      <c r="N180" s="78"/>
      <c r="O180" s="78"/>
      <c r="P180" s="78"/>
      <c r="Q180" s="78"/>
      <c r="R180" s="78"/>
      <c r="S180" s="78"/>
      <c r="T180" s="78"/>
      <c r="U180" s="78"/>
      <c r="V180" s="78"/>
      <c r="W180" s="98"/>
      <c r="X180" s="78"/>
      <c r="Y180" s="78"/>
      <c r="Z180" s="78"/>
      <c r="AA180" s="78"/>
      <c r="AB180" s="78"/>
      <c r="AC180" s="78"/>
      <c r="AD180" s="78"/>
      <c r="AE180" s="78"/>
      <c r="AF180" s="78"/>
      <c r="AG180" s="78"/>
      <c r="AH180" s="78"/>
      <c r="AI180" s="78"/>
      <c r="AJ180" s="78"/>
      <c r="AK180" s="78"/>
      <c r="AL180" s="126"/>
      <c r="AM180" s="82"/>
      <c r="AN180" s="82"/>
      <c r="AO180" s="82"/>
      <c r="AP180" s="82"/>
      <c r="AQ180" s="82"/>
      <c r="AR180" s="82"/>
    </row>
    <row r="181" spans="2:38" ht="12.75">
      <c r="B181" s="22"/>
      <c r="C181" s="22"/>
      <c r="D181" s="22"/>
      <c r="E181" s="22"/>
      <c r="F181" s="22"/>
      <c r="G181" s="22"/>
      <c r="H181" s="22"/>
      <c r="I181" s="57"/>
      <c r="J181" s="22"/>
      <c r="K181" s="22"/>
      <c r="L181" s="22"/>
      <c r="M181" s="22"/>
      <c r="N181" s="22"/>
      <c r="O181" s="22"/>
      <c r="P181" s="22"/>
      <c r="Q181" s="22"/>
      <c r="R181" s="22"/>
      <c r="S181" s="22"/>
      <c r="T181" s="22"/>
      <c r="U181" s="22"/>
      <c r="V181" s="22"/>
      <c r="W181" s="58"/>
      <c r="X181" s="22"/>
      <c r="Y181" s="22"/>
      <c r="Z181" s="22"/>
      <c r="AA181" s="22"/>
      <c r="AB181" s="22"/>
      <c r="AC181" s="22"/>
      <c r="AD181" s="22"/>
      <c r="AE181" s="22"/>
      <c r="AF181" s="22"/>
      <c r="AG181" s="22"/>
      <c r="AH181" s="22"/>
      <c r="AI181" s="22"/>
      <c r="AJ181" s="22"/>
      <c r="AK181" s="22"/>
      <c r="AL181" s="146"/>
    </row>
    <row r="182" spans="2:38" ht="38.25" customHeight="1">
      <c r="B182" s="688" t="s">
        <v>56</v>
      </c>
      <c r="C182" s="688"/>
      <c r="D182" s="688"/>
      <c r="E182" s="688"/>
      <c r="F182" s="688"/>
      <c r="G182" s="688"/>
      <c r="H182" s="688"/>
      <c r="I182" s="688"/>
      <c r="J182" s="688"/>
      <c r="K182" s="688"/>
      <c r="L182" s="688"/>
      <c r="M182" s="688"/>
      <c r="N182" s="688"/>
      <c r="O182" s="688"/>
      <c r="P182" s="688"/>
      <c r="Q182" s="688"/>
      <c r="R182" s="688"/>
      <c r="S182" s="688"/>
      <c r="T182" s="688"/>
      <c r="U182" s="688"/>
      <c r="V182" s="22"/>
      <c r="W182" s="58"/>
      <c r="X182" s="22"/>
      <c r="Y182" s="22"/>
      <c r="Z182" s="22"/>
      <c r="AA182" s="22"/>
      <c r="AB182" s="22"/>
      <c r="AC182" s="22"/>
      <c r="AD182" s="22"/>
      <c r="AE182" s="22"/>
      <c r="AF182" s="22"/>
      <c r="AG182" s="22"/>
      <c r="AH182" s="22"/>
      <c r="AI182" s="22"/>
      <c r="AJ182" s="22"/>
      <c r="AK182" s="22"/>
      <c r="AL182" s="146"/>
    </row>
    <row r="183" spans="2:38" ht="12.75">
      <c r="B183" s="22"/>
      <c r="C183" s="22"/>
      <c r="D183" s="22"/>
      <c r="E183" s="22"/>
      <c r="F183" s="22"/>
      <c r="G183" s="22"/>
      <c r="H183" s="22"/>
      <c r="I183" s="57"/>
      <c r="J183" s="22"/>
      <c r="K183" s="22"/>
      <c r="L183" s="22"/>
      <c r="M183" s="22"/>
      <c r="N183" s="22"/>
      <c r="O183" s="22"/>
      <c r="P183" s="22"/>
      <c r="Q183" s="22"/>
      <c r="R183" s="22"/>
      <c r="S183" s="22"/>
      <c r="T183" s="22"/>
      <c r="U183" s="22"/>
      <c r="V183" s="22"/>
      <c r="W183" s="58"/>
      <c r="X183" s="22"/>
      <c r="Y183" s="22"/>
      <c r="Z183" s="22"/>
      <c r="AA183" s="22"/>
      <c r="AB183" s="22"/>
      <c r="AC183" s="22"/>
      <c r="AD183" s="22"/>
      <c r="AE183" s="22"/>
      <c r="AF183" s="22"/>
      <c r="AG183" s="22"/>
      <c r="AH183" s="22"/>
      <c r="AI183" s="22"/>
      <c r="AJ183" s="22"/>
      <c r="AK183" s="22"/>
      <c r="AL183" s="146"/>
    </row>
    <row r="184" spans="2:38" ht="18.75">
      <c r="B184" s="22"/>
      <c r="C184" s="59"/>
      <c r="D184" s="59"/>
      <c r="E184" s="59"/>
      <c r="F184" s="22"/>
      <c r="G184" s="22"/>
      <c r="H184" s="22"/>
      <c r="I184" s="57"/>
      <c r="J184" s="22"/>
      <c r="K184" s="22"/>
      <c r="L184" s="22"/>
      <c r="M184" s="22"/>
      <c r="N184" s="22"/>
      <c r="O184" s="22"/>
      <c r="P184" s="22"/>
      <c r="Q184" s="22"/>
      <c r="R184" s="22"/>
      <c r="S184" s="22"/>
      <c r="T184" s="22"/>
      <c r="U184" s="22"/>
      <c r="V184" s="22"/>
      <c r="W184" s="58"/>
      <c r="X184" s="22"/>
      <c r="Y184" s="22"/>
      <c r="Z184" s="22"/>
      <c r="AA184" s="22"/>
      <c r="AB184" s="22"/>
      <c r="AC184" s="22"/>
      <c r="AD184" s="22"/>
      <c r="AE184" s="22"/>
      <c r="AF184" s="22"/>
      <c r="AG184" s="22"/>
      <c r="AH184" s="677" t="s">
        <v>57</v>
      </c>
      <c r="AI184" s="677"/>
      <c r="AJ184" s="677"/>
      <c r="AK184" s="677"/>
      <c r="AL184" s="677"/>
    </row>
    <row r="185" spans="2:38" ht="18.75">
      <c r="B185" s="22"/>
      <c r="C185" s="59"/>
      <c r="D185" s="59"/>
      <c r="E185" s="59"/>
      <c r="F185" s="22"/>
      <c r="G185" s="22"/>
      <c r="H185" s="22"/>
      <c r="I185" s="57"/>
      <c r="J185" s="22"/>
      <c r="K185" s="22"/>
      <c r="L185" s="22"/>
      <c r="M185" s="22"/>
      <c r="N185" s="22"/>
      <c r="O185" s="22"/>
      <c r="P185" s="22"/>
      <c r="Q185" s="22"/>
      <c r="R185" s="22"/>
      <c r="S185" s="22"/>
      <c r="T185" s="22"/>
      <c r="U185" s="22"/>
      <c r="V185" s="22"/>
      <c r="W185" s="58"/>
      <c r="X185" s="22"/>
      <c r="Y185" s="22"/>
      <c r="Z185" s="22"/>
      <c r="AA185" s="22"/>
      <c r="AB185" s="22"/>
      <c r="AC185" s="22"/>
      <c r="AD185" s="22"/>
      <c r="AE185" s="22"/>
      <c r="AF185" s="22"/>
      <c r="AG185" s="22"/>
      <c r="AH185" s="698" t="s">
        <v>309</v>
      </c>
      <c r="AI185" s="698"/>
      <c r="AJ185" s="698"/>
      <c r="AK185" s="698"/>
      <c r="AL185" s="698"/>
    </row>
    <row r="186" spans="2:38" ht="18.75">
      <c r="B186" s="22"/>
      <c r="C186" s="59"/>
      <c r="D186" s="59"/>
      <c r="E186" s="59"/>
      <c r="F186" s="22"/>
      <c r="G186" s="22"/>
      <c r="H186" s="22"/>
      <c r="I186" s="57"/>
      <c r="J186" s="22"/>
      <c r="K186" s="22"/>
      <c r="L186" s="22"/>
      <c r="M186" s="22"/>
      <c r="N186" s="22"/>
      <c r="O186" s="22"/>
      <c r="P186" s="22"/>
      <c r="Q186" s="22"/>
      <c r="R186" s="22"/>
      <c r="S186" s="22"/>
      <c r="T186" s="22"/>
      <c r="U186" s="22"/>
      <c r="V186" s="22"/>
      <c r="W186" s="58"/>
      <c r="X186" s="22"/>
      <c r="Y186" s="22"/>
      <c r="Z186" s="22"/>
      <c r="AA186" s="22"/>
      <c r="AB186" s="22"/>
      <c r="AC186" s="22"/>
      <c r="AD186" s="22"/>
      <c r="AE186" s="22"/>
      <c r="AF186" s="22"/>
      <c r="AG186" s="22"/>
      <c r="AH186" s="695"/>
      <c r="AI186" s="695"/>
      <c r="AJ186" s="695"/>
      <c r="AK186" s="695"/>
      <c r="AL186" s="695"/>
    </row>
    <row r="187" spans="34:38" ht="18">
      <c r="AH187" s="61"/>
      <c r="AI187" s="61"/>
      <c r="AJ187" s="61"/>
      <c r="AK187" s="61"/>
      <c r="AL187" s="154"/>
    </row>
    <row r="188" spans="34:38" ht="18">
      <c r="AH188" s="61"/>
      <c r="AI188" s="61"/>
      <c r="AJ188" s="61"/>
      <c r="AK188" s="61"/>
      <c r="AL188" s="154"/>
    </row>
    <row r="189" spans="34:38" ht="18">
      <c r="AH189" s="61"/>
      <c r="AI189" s="61"/>
      <c r="AJ189" s="61"/>
      <c r="AK189" s="61"/>
      <c r="AL189" s="154"/>
    </row>
    <row r="190" spans="34:38" ht="18">
      <c r="AH190" s="61"/>
      <c r="AI190" s="61"/>
      <c r="AJ190" s="61"/>
      <c r="AK190" s="61"/>
      <c r="AL190" s="154"/>
    </row>
    <row r="191" spans="34:38" ht="18.75">
      <c r="AH191" s="61"/>
      <c r="AI191" s="693"/>
      <c r="AJ191" s="693"/>
      <c r="AK191" s="693"/>
      <c r="AL191" s="154"/>
    </row>
    <row r="192" spans="34:38" ht="18">
      <c r="AH192" s="61"/>
      <c r="AI192" s="61"/>
      <c r="AJ192" s="61"/>
      <c r="AK192" s="61"/>
      <c r="AL192" s="154"/>
    </row>
    <row r="193" spans="34:38" ht="18">
      <c r="AH193" s="61"/>
      <c r="AI193" s="61"/>
      <c r="AJ193" s="61"/>
      <c r="AK193" s="61"/>
      <c r="AL193" s="154"/>
    </row>
    <row r="194" spans="34:38" ht="18.75">
      <c r="AH194" s="61"/>
      <c r="AI194" s="693" t="s">
        <v>310</v>
      </c>
      <c r="AJ194" s="693"/>
      <c r="AK194" s="693"/>
      <c r="AL194" s="154"/>
    </row>
  </sheetData>
  <sheetProtection/>
  <autoFilter ref="A4:AR180"/>
  <mergeCells count="38">
    <mergeCell ref="AJ6:AJ7"/>
    <mergeCell ref="K6:K7"/>
    <mergeCell ref="Z6:AI6"/>
    <mergeCell ref="AH185:AL185"/>
    <mergeCell ref="AR5:AR7"/>
    <mergeCell ref="AM6:AM7"/>
    <mergeCell ref="AM5:AN5"/>
    <mergeCell ref="AO5:AO7"/>
    <mergeCell ref="AP5:AP7"/>
    <mergeCell ref="AQ5:AQ7"/>
    <mergeCell ref="AI191:AK191"/>
    <mergeCell ref="B2:M2"/>
    <mergeCell ref="E5:E7"/>
    <mergeCell ref="X6:X7"/>
    <mergeCell ref="J6:J7"/>
    <mergeCell ref="AI194:AK194"/>
    <mergeCell ref="AH186:AL186"/>
    <mergeCell ref="W5:AJ5"/>
    <mergeCell ref="AK5:AK7"/>
    <mergeCell ref="AL5:AL7"/>
    <mergeCell ref="U1:V1"/>
    <mergeCell ref="C5:C7"/>
    <mergeCell ref="V6:V7"/>
    <mergeCell ref="B3:M3"/>
    <mergeCell ref="I6:I7"/>
    <mergeCell ref="B1:C1"/>
    <mergeCell ref="I5:V5"/>
    <mergeCell ref="G5:G7"/>
    <mergeCell ref="AH184:AL184"/>
    <mergeCell ref="D5:D7"/>
    <mergeCell ref="B5:B7"/>
    <mergeCell ref="L6:U6"/>
    <mergeCell ref="F5:F7"/>
    <mergeCell ref="AN6:AN7"/>
    <mergeCell ref="C179:J179"/>
    <mergeCell ref="B182:U182"/>
    <mergeCell ref="W6:W7"/>
    <mergeCell ref="Y6:Y7"/>
  </mergeCells>
  <printOptions/>
  <pageMargins left="0.511811023622047" right="0.51181102362205" top="0.46" bottom="0.354330708661417" header="0.21" footer="0.15748031496063"/>
  <pageSetup horizontalDpi="600" verticalDpi="600" orientation="landscape" paperSize="9" scale="70" r:id="rId1"/>
  <headerFooter alignWithMargins="0">
    <oddFooter>&amp;CPage &amp;P</oddFooter>
  </headerFooter>
  <colBreaks count="2" manualBreakCount="2">
    <brk id="22" max="65535" man="1"/>
    <brk id="40" max="65535" man="1"/>
  </colBreaks>
</worksheet>
</file>

<file path=xl/worksheets/sheet2.xml><?xml version="1.0" encoding="utf-8"?>
<worksheet xmlns="http://schemas.openxmlformats.org/spreadsheetml/2006/main" xmlns:r="http://schemas.openxmlformats.org/officeDocument/2006/relationships">
  <dimension ref="A1:J171"/>
  <sheetViews>
    <sheetView zoomScaleSheetLayoutView="85" zoomScalePageLayoutView="0" workbookViewId="0" topLeftCell="A1">
      <pane xSplit="2" ySplit="7" topLeftCell="C8" activePane="bottomRight" state="frozen"/>
      <selection pane="topLeft" activeCell="B169" sqref="B169:N171"/>
      <selection pane="topRight" activeCell="B169" sqref="B169:N171"/>
      <selection pane="bottomLeft" activeCell="B169" sqref="B169:N171"/>
      <selection pane="bottomRight" activeCell="B169" sqref="B169:N171"/>
    </sheetView>
  </sheetViews>
  <sheetFormatPr defaultColWidth="9.140625" defaultRowHeight="12.75"/>
  <cols>
    <col min="1" max="1" width="4.421875" style="1" customWidth="1"/>
    <col min="2" max="2" width="44.421875" style="1" customWidth="1"/>
    <col min="3" max="3" width="18.57421875" style="1" customWidth="1"/>
    <col min="4" max="4" width="17.00390625" style="1" customWidth="1"/>
    <col min="5" max="5" width="11.8515625" style="1" customWidth="1"/>
    <col min="6" max="6" width="15.28125" style="1" customWidth="1"/>
    <col min="7" max="7" width="13.8515625" style="128" customWidth="1"/>
    <col min="8" max="8" width="9.140625" style="1" customWidth="1"/>
    <col min="9" max="10" width="9.8515625" style="1" bestFit="1" customWidth="1"/>
    <col min="11" max="16384" width="9.140625" style="1" customWidth="1"/>
  </cols>
  <sheetData>
    <row r="1" spans="1:7" ht="12.75">
      <c r="A1" s="13" t="s">
        <v>311</v>
      </c>
      <c r="G1" s="120" t="s">
        <v>61</v>
      </c>
    </row>
    <row r="3" spans="1:7" ht="27" customHeight="1">
      <c r="A3" s="704" t="s">
        <v>328</v>
      </c>
      <c r="B3" s="704"/>
      <c r="C3" s="704"/>
      <c r="D3" s="704"/>
      <c r="E3" s="704"/>
      <c r="F3" s="704"/>
      <c r="G3" s="704"/>
    </row>
    <row r="4" spans="1:7" ht="12.75">
      <c r="A4" s="705" t="s">
        <v>162</v>
      </c>
      <c r="B4" s="705"/>
      <c r="C4" s="705"/>
      <c r="D4" s="705"/>
      <c r="E4" s="705"/>
      <c r="F4" s="705"/>
      <c r="G4" s="705"/>
    </row>
    <row r="5" spans="1:7" ht="86.25" customHeight="1">
      <c r="A5" s="68" t="s">
        <v>58</v>
      </c>
      <c r="B5" s="68" t="s">
        <v>62</v>
      </c>
      <c r="C5" s="2" t="s">
        <v>331</v>
      </c>
      <c r="D5" s="68" t="s">
        <v>332</v>
      </c>
      <c r="E5" s="68" t="s">
        <v>66</v>
      </c>
      <c r="F5" s="2" t="s">
        <v>67</v>
      </c>
      <c r="G5" s="121" t="s">
        <v>333</v>
      </c>
    </row>
    <row r="6" spans="1:7" ht="12.75">
      <c r="A6" s="3">
        <v>1</v>
      </c>
      <c r="B6" s="3">
        <v>2</v>
      </c>
      <c r="C6" s="3">
        <v>3</v>
      </c>
      <c r="D6" s="3">
        <v>4</v>
      </c>
      <c r="E6" s="3">
        <v>5</v>
      </c>
      <c r="F6" s="3">
        <v>6</v>
      </c>
      <c r="G6" s="122" t="s">
        <v>329</v>
      </c>
    </row>
    <row r="7" spans="1:7" s="10" customFormat="1" ht="12.75">
      <c r="A7" s="4"/>
      <c r="B7" s="4" t="s">
        <v>3</v>
      </c>
      <c r="C7" s="44">
        <f>C9+C24+C27+C28+C29+C43+C44+C51+C76+C85</f>
        <v>3426</v>
      </c>
      <c r="D7" s="44">
        <f>D9+D24+D27+D28+D29+D43+D44+D51+D76+D85</f>
        <v>7135.157999999999</v>
      </c>
      <c r="E7" s="44">
        <f>E9+E24+E27+E28+E29+E43+E44+E51+E76+E85</f>
        <v>2393.5860000000002</v>
      </c>
      <c r="F7" s="44">
        <f>F9+F24+F27+F28+F29+F43+F44+F51+F76+F85</f>
        <v>87.79773999999955</v>
      </c>
      <c r="G7" s="123">
        <f>G9+G24+G27+G28+G29+G43+G44+G51+G76+G85</f>
        <v>529.3801199999973</v>
      </c>
    </row>
    <row r="8" spans="1:7" s="69" customFormat="1" ht="12.75">
      <c r="A8" s="71" t="s">
        <v>18</v>
      </c>
      <c r="B8" s="72" t="s">
        <v>19</v>
      </c>
      <c r="C8" s="116">
        <f>C9+C24+C27+C28+C29+C43+C44+C51+C76+C85</f>
        <v>3426</v>
      </c>
      <c r="D8" s="116">
        <f>D9+D24+D27+D28+D29+D43+D44+D51+D76+D85</f>
        <v>7135.157999999999</v>
      </c>
      <c r="E8" s="116">
        <f>E9+E24+E27+E28+E29+E43+E44+E51+E76+E85</f>
        <v>2393.5860000000002</v>
      </c>
      <c r="F8" s="116">
        <f>F9+F24+F27+F28+F29+F43+F44+F51+F76+F85</f>
        <v>87.79773999999955</v>
      </c>
      <c r="G8" s="124">
        <f>G9+G24+G27+G28+G29+G43+G44+G51+G76+G85</f>
        <v>529.3801199999973</v>
      </c>
    </row>
    <row r="9" spans="1:7" s="132" customFormat="1" ht="12.75">
      <c r="A9" s="100">
        <v>1</v>
      </c>
      <c r="B9" s="103" t="s">
        <v>21</v>
      </c>
      <c r="C9" s="103">
        <f>+C10+C12</f>
        <v>496</v>
      </c>
      <c r="D9" s="233">
        <f>+D10+D12</f>
        <v>1040.127</v>
      </c>
      <c r="E9" s="233">
        <f>+E10+E12</f>
        <v>206.244</v>
      </c>
      <c r="F9" s="233">
        <f>+F10+F12</f>
        <v>20.90942400000014</v>
      </c>
      <c r="G9" s="131">
        <f>+G10+G12</f>
        <v>125.45654400000085</v>
      </c>
    </row>
    <row r="10" spans="1:7" s="135" customFormat="1" ht="12.75">
      <c r="A10" s="110"/>
      <c r="B10" s="112" t="s">
        <v>312</v>
      </c>
      <c r="C10" s="112">
        <f>C11</f>
        <v>388</v>
      </c>
      <c r="D10" s="112">
        <f>D11</f>
        <v>807.305</v>
      </c>
      <c r="E10" s="112">
        <f>E11</f>
        <v>189.583</v>
      </c>
      <c r="F10" s="112">
        <f>F11</f>
        <v>14.45878000000016</v>
      </c>
      <c r="G10" s="112">
        <f>G11</f>
        <v>86.75268000000096</v>
      </c>
    </row>
    <row r="11" spans="1:7" s="256" customFormat="1" ht="17.25" customHeight="1">
      <c r="A11" s="273"/>
      <c r="B11" s="274" t="s">
        <v>200</v>
      </c>
      <c r="C11" s="112">
        <f>391-3</f>
        <v>388</v>
      </c>
      <c r="D11" s="133">
        <f>813.285-5.98</f>
        <v>807.305</v>
      </c>
      <c r="E11" s="133">
        <f>191.078-1.495</f>
        <v>189.583</v>
      </c>
      <c r="F11" s="133">
        <f>1.15*(D11*1.08+E11)-1.21*(D11+E11)</f>
        <v>14.45878000000016</v>
      </c>
      <c r="G11" s="174">
        <f>+F11*6</f>
        <v>86.75268000000096</v>
      </c>
    </row>
    <row r="12" spans="1:7" s="135" customFormat="1" ht="12.75">
      <c r="A12" s="110"/>
      <c r="B12" s="141" t="str">
        <f>'Biểu 2a'!C16</f>
        <v>+ Đào tạo</v>
      </c>
      <c r="C12" s="112">
        <f>SUM(C13:C23)</f>
        <v>108</v>
      </c>
      <c r="D12" s="288">
        <f>SUM(D13:D23)</f>
        <v>232.82199999999997</v>
      </c>
      <c r="E12" s="288">
        <f>SUM(E13:E23)</f>
        <v>16.661</v>
      </c>
      <c r="F12" s="288">
        <f>SUM(F13:F23)</f>
        <v>6.45064399999998</v>
      </c>
      <c r="G12" s="134">
        <f>SUM(G13:G23)</f>
        <v>38.70386399999988</v>
      </c>
    </row>
    <row r="13" spans="1:7" s="135" customFormat="1" ht="12.75">
      <c r="A13" s="110"/>
      <c r="B13" s="141" t="str">
        <f>'Biểu 2a'!C17</f>
        <v>- Sở GDĐT</v>
      </c>
      <c r="C13" s="275">
        <v>0</v>
      </c>
      <c r="D13" s="133">
        <v>0</v>
      </c>
      <c r="E13" s="133">
        <v>0</v>
      </c>
      <c r="F13" s="133">
        <f>1.15*(D13*1.08+E13)-1.21*(D13+E13)</f>
        <v>0</v>
      </c>
      <c r="G13" s="174">
        <f>+F13*6</f>
        <v>0</v>
      </c>
    </row>
    <row r="14" spans="1:10" s="135" customFormat="1" ht="12.75">
      <c r="A14" s="110"/>
      <c r="B14" s="141" t="str">
        <f>'Biểu 2a'!C18</f>
        <v>- Trường Chính trị</v>
      </c>
      <c r="C14" s="275">
        <v>0</v>
      </c>
      <c r="D14" s="133">
        <v>0</v>
      </c>
      <c r="E14" s="133">
        <v>0</v>
      </c>
      <c r="F14" s="133">
        <f aca="true" t="shared" si="0" ref="F14:F23">1.15*(D14*1.08+E14)-1.21*(D14+E14)</f>
        <v>0</v>
      </c>
      <c r="G14" s="134">
        <f>+F14*8</f>
        <v>0</v>
      </c>
      <c r="I14" s="254">
        <f>+D14+E14</f>
        <v>0</v>
      </c>
      <c r="J14" s="254">
        <f>+I14*1210</f>
        <v>0</v>
      </c>
    </row>
    <row r="15" spans="1:10" s="135" customFormat="1" ht="12.75">
      <c r="A15" s="110"/>
      <c r="B15" s="141" t="str">
        <f>'Biểu 2a'!C19</f>
        <v>- Trường Trung cấp nghề 26-3</v>
      </c>
      <c r="C15" s="275">
        <v>3</v>
      </c>
      <c r="D15" s="133">
        <v>5.8</v>
      </c>
      <c r="E15" s="133">
        <v>0</v>
      </c>
      <c r="F15" s="133">
        <f t="shared" si="0"/>
        <v>0.1856</v>
      </c>
      <c r="G15" s="174">
        <f>+F15*6</f>
        <v>1.1136</v>
      </c>
      <c r="I15" s="254">
        <f>+D14*1150*1.08</f>
        <v>0</v>
      </c>
      <c r="J15" s="254">
        <f>+I15+I16</f>
        <v>0</v>
      </c>
    </row>
    <row r="16" spans="1:10" s="135" customFormat="1" ht="12.75">
      <c r="A16" s="110"/>
      <c r="B16" s="141" t="str">
        <f>'Biểu 2a'!C20</f>
        <v>-Trường TC VHNT</v>
      </c>
      <c r="C16" s="285">
        <v>0</v>
      </c>
      <c r="D16" s="286">
        <v>0</v>
      </c>
      <c r="E16" s="287">
        <v>0</v>
      </c>
      <c r="F16" s="133">
        <f t="shared" si="0"/>
        <v>0</v>
      </c>
      <c r="G16" s="134">
        <f>+F16*8</f>
        <v>0</v>
      </c>
      <c r="I16" s="254">
        <f>+E14*1150</f>
        <v>0</v>
      </c>
      <c r="J16" s="254"/>
    </row>
    <row r="17" spans="1:10" s="22" customFormat="1" ht="12.75">
      <c r="A17" s="21"/>
      <c r="B17" s="28" t="str">
        <f>'Biểu 2a'!C21</f>
        <v>- Trường TC Kỹ thuật Đồng Nai</v>
      </c>
      <c r="C17" s="276">
        <v>15</v>
      </c>
      <c r="D17" s="244">
        <v>30.429</v>
      </c>
      <c r="E17" s="244">
        <v>3.805</v>
      </c>
      <c r="F17" s="245">
        <f t="shared" si="0"/>
        <v>0.7454279999999969</v>
      </c>
      <c r="G17" s="246">
        <f>+F17*6</f>
        <v>4.472567999999981</v>
      </c>
      <c r="I17" s="247"/>
      <c r="J17" s="247"/>
    </row>
    <row r="18" spans="1:7" s="135" customFormat="1" ht="12.75">
      <c r="A18" s="110"/>
      <c r="B18" s="141" t="str">
        <f>'Biểu 2a'!C22</f>
        <v>- Trường PT Năng khiếu thể thao</v>
      </c>
      <c r="C18" s="285">
        <v>13</v>
      </c>
      <c r="D18" s="287">
        <v>27.19</v>
      </c>
      <c r="E18" s="287">
        <v>0</v>
      </c>
      <c r="F18" s="133">
        <f t="shared" si="0"/>
        <v>0.8700800000000015</v>
      </c>
      <c r="G18" s="134">
        <f>+F18*6</f>
        <v>5.220480000000009</v>
      </c>
    </row>
    <row r="19" spans="1:7" s="135" customFormat="1" ht="12.75">
      <c r="A19" s="110"/>
      <c r="B19" s="141" t="str">
        <f>'Biểu 2a'!C23</f>
        <v>- Trường TC nghề Giao thông Vận tải</v>
      </c>
      <c r="C19" s="275">
        <v>13</v>
      </c>
      <c r="D19" s="133">
        <v>26.55</v>
      </c>
      <c r="E19" s="133">
        <v>2.124</v>
      </c>
      <c r="F19" s="133">
        <f t="shared" si="0"/>
        <v>0.7221599999999953</v>
      </c>
      <c r="G19" s="174">
        <f>+F19*6</f>
        <v>4.3329599999999715</v>
      </c>
    </row>
    <row r="20" spans="1:7" s="135" customFormat="1" ht="15" customHeight="1">
      <c r="A20" s="110"/>
      <c r="B20" s="141" t="str">
        <f>'Biểu 2a'!C24</f>
        <v>- Trường ĐH Đồng Nai</v>
      </c>
      <c r="C20" s="275">
        <v>0</v>
      </c>
      <c r="D20" s="133">
        <v>0</v>
      </c>
      <c r="E20" s="133">
        <v>0</v>
      </c>
      <c r="F20" s="133">
        <f t="shared" si="0"/>
        <v>0</v>
      </c>
      <c r="G20" s="134">
        <f>+F20*8</f>
        <v>0</v>
      </c>
    </row>
    <row r="21" spans="1:7" s="135" customFormat="1" ht="11.25" customHeight="1">
      <c r="A21" s="110"/>
      <c r="B21" s="141" t="str">
        <f>'Biểu 2a'!C25</f>
        <v>- Trường Cao đẳng Y tế</v>
      </c>
      <c r="C21" s="275">
        <v>23</v>
      </c>
      <c r="D21" s="133">
        <v>50.373</v>
      </c>
      <c r="E21" s="133">
        <v>10.732</v>
      </c>
      <c r="F21" s="133">
        <f t="shared" si="0"/>
        <v>0.9680159999999915</v>
      </c>
      <c r="G21" s="134">
        <f>+F21*6</f>
        <v>5.808095999999949</v>
      </c>
    </row>
    <row r="22" spans="1:7" s="135" customFormat="1" ht="12" customHeight="1">
      <c r="A22" s="110"/>
      <c r="B22" s="141" t="str">
        <f>'Biểu 2a'!C26</f>
        <v>- Trường Cao đẳng nghề</v>
      </c>
      <c r="C22" s="275">
        <v>6</v>
      </c>
      <c r="D22" s="133">
        <v>10.48</v>
      </c>
      <c r="E22" s="133">
        <v>0</v>
      </c>
      <c r="F22" s="133">
        <f t="shared" si="0"/>
        <v>0.33535999999999966</v>
      </c>
      <c r="G22" s="134">
        <f>+F22*6</f>
        <v>2.012159999999998</v>
      </c>
    </row>
    <row r="23" spans="1:7" s="135" customFormat="1" ht="12.75">
      <c r="A23" s="110"/>
      <c r="B23" s="141" t="str">
        <f>'Biểu 2a'!C27</f>
        <v>- Trường CĐ Nghề Công nghệ cao</v>
      </c>
      <c r="C23" s="112">
        <v>35</v>
      </c>
      <c r="D23" s="133">
        <v>82</v>
      </c>
      <c r="E23" s="133">
        <v>0</v>
      </c>
      <c r="F23" s="133">
        <f t="shared" si="0"/>
        <v>2.6239999999999952</v>
      </c>
      <c r="G23" s="134">
        <f>+F23*6</f>
        <v>15.743999999999971</v>
      </c>
    </row>
    <row r="24" spans="1:7" s="132" customFormat="1" ht="12.75">
      <c r="A24" s="100" t="s">
        <v>24</v>
      </c>
      <c r="B24" s="103" t="s">
        <v>25</v>
      </c>
      <c r="C24" s="103">
        <f>+C25+C26</f>
        <v>2513</v>
      </c>
      <c r="D24" s="130">
        <f>+D25+D26</f>
        <v>5231.994</v>
      </c>
      <c r="E24" s="130">
        <f>+E25+E26</f>
        <v>2107.822</v>
      </c>
      <c r="F24" s="130">
        <f>+F25+F26</f>
        <v>40.9544879999994</v>
      </c>
      <c r="G24" s="177">
        <f>+G25+G26</f>
        <v>245.7269279999964</v>
      </c>
    </row>
    <row r="25" spans="1:7" s="135" customFormat="1" ht="12.75">
      <c r="A25" s="110"/>
      <c r="B25" s="112" t="s">
        <v>129</v>
      </c>
      <c r="C25" s="112">
        <v>2513</v>
      </c>
      <c r="D25" s="133">
        <v>5231.994</v>
      </c>
      <c r="E25" s="133">
        <v>2107.822</v>
      </c>
      <c r="F25" s="133">
        <f>1.15*(D25*1.08+E25)-1.21*(D25+E25)</f>
        <v>40.9544879999994</v>
      </c>
      <c r="G25" s="134">
        <f>+F25*6</f>
        <v>245.7269279999964</v>
      </c>
    </row>
    <row r="26" spans="1:7" s="135" customFormat="1" ht="15.75" customHeight="1">
      <c r="A26" s="110"/>
      <c r="B26" s="112" t="s">
        <v>251</v>
      </c>
      <c r="C26" s="112">
        <v>0</v>
      </c>
      <c r="D26" s="133">
        <v>0</v>
      </c>
      <c r="E26" s="133">
        <v>0</v>
      </c>
      <c r="F26" s="133">
        <f>1.15*(D26*1.08+E26)-1.21*(D26+E26)</f>
        <v>0</v>
      </c>
      <c r="G26" s="134">
        <f>+F26*6</f>
        <v>0</v>
      </c>
    </row>
    <row r="27" spans="1:7" s="132" customFormat="1" ht="12.75">
      <c r="A27" s="100" t="s">
        <v>177</v>
      </c>
      <c r="B27" s="103" t="s">
        <v>178</v>
      </c>
      <c r="C27" s="103">
        <v>23</v>
      </c>
      <c r="D27" s="130">
        <v>45.58</v>
      </c>
      <c r="E27" s="130">
        <v>9.78</v>
      </c>
      <c r="F27" s="130">
        <f>1.15*(D27*1.08+E27)-1.21*(D27+E27)</f>
        <v>0.871760000000009</v>
      </c>
      <c r="G27" s="177">
        <f>+F27*6</f>
        <v>5.230560000000054</v>
      </c>
    </row>
    <row r="28" spans="1:7" s="69" customFormat="1" ht="12.75">
      <c r="A28" s="71" t="s">
        <v>26</v>
      </c>
      <c r="B28" s="72" t="s">
        <v>63</v>
      </c>
      <c r="C28" s="72">
        <v>0</v>
      </c>
      <c r="D28" s="118">
        <v>0</v>
      </c>
      <c r="E28" s="118">
        <v>0</v>
      </c>
      <c r="F28" s="118">
        <f>1.15*(D28*1.08+E28)-1.21*(D28+E28)</f>
        <v>0</v>
      </c>
      <c r="G28" s="124">
        <f>+F28*8</f>
        <v>0</v>
      </c>
    </row>
    <row r="29" spans="1:7" s="132" customFormat="1" ht="12.75">
      <c r="A29" s="100" t="s">
        <v>28</v>
      </c>
      <c r="B29" s="103" t="s">
        <v>29</v>
      </c>
      <c r="C29" s="233">
        <f>C30+C40+C41</f>
        <v>48</v>
      </c>
      <c r="D29" s="233">
        <f>D30+D40+D41</f>
        <v>103.49000000000001</v>
      </c>
      <c r="E29" s="233">
        <f>E30+E40+E41</f>
        <v>0</v>
      </c>
      <c r="F29" s="233">
        <f>F30+F40+F41</f>
        <v>3.3116799999999946</v>
      </c>
      <c r="G29" s="233">
        <f>G30+G40+G41</f>
        <v>19.870079999999966</v>
      </c>
    </row>
    <row r="30" spans="1:7" s="135" customFormat="1" ht="12.75">
      <c r="A30" s="110"/>
      <c r="B30" s="104" t="s">
        <v>361</v>
      </c>
      <c r="C30" s="112">
        <f>SUM(C31:C39)</f>
        <v>45</v>
      </c>
      <c r="D30" s="112">
        <f>SUM(D31:D39)</f>
        <v>96.55000000000001</v>
      </c>
      <c r="E30" s="112">
        <f>SUM(E31:E39)</f>
        <v>0</v>
      </c>
      <c r="F30" s="112">
        <f>SUM(F31:F39)</f>
        <v>3.0895999999999963</v>
      </c>
      <c r="G30" s="288">
        <f>SUM(G31:G39)</f>
        <v>18.537599999999976</v>
      </c>
    </row>
    <row r="31" spans="1:7" s="272" customFormat="1" ht="12.75">
      <c r="A31" s="269"/>
      <c r="B31" s="278" t="s">
        <v>252</v>
      </c>
      <c r="C31" s="270">
        <v>0</v>
      </c>
      <c r="D31" s="271">
        <v>0</v>
      </c>
      <c r="E31" s="271">
        <v>0</v>
      </c>
      <c r="F31" s="271">
        <f aca="true" t="shared" si="1" ref="F31:F44">1.15*(D31*1.08+E31)-1.21*(D31+E31)</f>
        <v>0</v>
      </c>
      <c r="G31" s="279">
        <f>+F31*6</f>
        <v>0</v>
      </c>
    </row>
    <row r="32" spans="1:7" s="272" customFormat="1" ht="12.75">
      <c r="A32" s="269"/>
      <c r="B32" s="278" t="s">
        <v>259</v>
      </c>
      <c r="C32" s="270">
        <v>17</v>
      </c>
      <c r="D32" s="271">
        <v>35.18</v>
      </c>
      <c r="E32" s="271">
        <v>0</v>
      </c>
      <c r="F32" s="271">
        <f t="shared" si="1"/>
        <v>1.1257599999999996</v>
      </c>
      <c r="G32" s="279">
        <f aca="true" t="shared" si="2" ref="G32:G39">+F32*6</f>
        <v>6.754559999999998</v>
      </c>
    </row>
    <row r="33" spans="1:7" s="272" customFormat="1" ht="12.75">
      <c r="A33" s="269"/>
      <c r="B33" s="278" t="s">
        <v>253</v>
      </c>
      <c r="C33" s="270">
        <v>5</v>
      </c>
      <c r="D33" s="271">
        <v>15.56</v>
      </c>
      <c r="E33" s="271">
        <v>0</v>
      </c>
      <c r="F33" s="271">
        <f t="shared" si="1"/>
        <v>0.49791999999999703</v>
      </c>
      <c r="G33" s="279">
        <f t="shared" si="2"/>
        <v>2.987519999999982</v>
      </c>
    </row>
    <row r="34" spans="1:7" s="272" customFormat="1" ht="12.75">
      <c r="A34" s="269"/>
      <c r="B34" s="278" t="s">
        <v>254</v>
      </c>
      <c r="C34" s="270">
        <v>8</v>
      </c>
      <c r="D34" s="271">
        <v>16.15</v>
      </c>
      <c r="E34" s="271">
        <v>0</v>
      </c>
      <c r="F34" s="271">
        <f t="shared" si="1"/>
        <v>0.5167999999999999</v>
      </c>
      <c r="G34" s="279">
        <f t="shared" si="2"/>
        <v>3.1007999999999996</v>
      </c>
    </row>
    <row r="35" spans="1:7" s="272" customFormat="1" ht="12.75">
      <c r="A35" s="269"/>
      <c r="B35" s="278" t="s">
        <v>255</v>
      </c>
      <c r="C35" s="270">
        <v>4</v>
      </c>
      <c r="D35" s="271">
        <v>8.9</v>
      </c>
      <c r="E35" s="271">
        <v>0</v>
      </c>
      <c r="F35" s="271">
        <f t="shared" si="1"/>
        <v>0.2848000000000006</v>
      </c>
      <c r="G35" s="279">
        <f t="shared" si="2"/>
        <v>1.7088000000000036</v>
      </c>
    </row>
    <row r="36" spans="1:7" s="272" customFormat="1" ht="12.75">
      <c r="A36" s="269"/>
      <c r="B36" s="278" t="s">
        <v>256</v>
      </c>
      <c r="C36" s="270">
        <v>0</v>
      </c>
      <c r="D36" s="271">
        <v>0</v>
      </c>
      <c r="E36" s="271">
        <v>0</v>
      </c>
      <c r="F36" s="271">
        <f t="shared" si="1"/>
        <v>0</v>
      </c>
      <c r="G36" s="279">
        <f t="shared" si="2"/>
        <v>0</v>
      </c>
    </row>
    <row r="37" spans="1:7" s="272" customFormat="1" ht="12.75">
      <c r="A37" s="269"/>
      <c r="B37" s="278" t="s">
        <v>260</v>
      </c>
      <c r="C37" s="270">
        <v>9</v>
      </c>
      <c r="D37" s="271">
        <v>16.32</v>
      </c>
      <c r="E37" s="271">
        <v>0</v>
      </c>
      <c r="F37" s="271">
        <f t="shared" si="1"/>
        <v>0.52224</v>
      </c>
      <c r="G37" s="279">
        <f t="shared" si="2"/>
        <v>3.1334400000000002</v>
      </c>
    </row>
    <row r="38" spans="1:7" s="272" customFormat="1" ht="12.75">
      <c r="A38" s="269"/>
      <c r="B38" s="278" t="s">
        <v>257</v>
      </c>
      <c r="C38" s="270">
        <v>0</v>
      </c>
      <c r="D38" s="271">
        <v>0</v>
      </c>
      <c r="E38" s="271">
        <v>0</v>
      </c>
      <c r="F38" s="271">
        <f t="shared" si="1"/>
        <v>0</v>
      </c>
      <c r="G38" s="279">
        <f t="shared" si="2"/>
        <v>0</v>
      </c>
    </row>
    <row r="39" spans="1:7" s="272" customFormat="1" ht="12.75">
      <c r="A39" s="269"/>
      <c r="B39" s="278" t="s">
        <v>258</v>
      </c>
      <c r="C39" s="270">
        <v>2</v>
      </c>
      <c r="D39" s="271">
        <v>4.44</v>
      </c>
      <c r="E39" s="271">
        <v>0</v>
      </c>
      <c r="F39" s="271">
        <f t="shared" si="1"/>
        <v>0.1420799999999991</v>
      </c>
      <c r="G39" s="279">
        <f t="shared" si="2"/>
        <v>0.8524799999999946</v>
      </c>
    </row>
    <row r="40" spans="1:7" s="135" customFormat="1" ht="12.75">
      <c r="A40" s="110"/>
      <c r="B40" s="104" t="s">
        <v>356</v>
      </c>
      <c r="C40" s="112">
        <v>3</v>
      </c>
      <c r="D40" s="133">
        <v>6.94</v>
      </c>
      <c r="E40" s="133">
        <v>0</v>
      </c>
      <c r="F40" s="133">
        <f t="shared" si="1"/>
        <v>0.22207999999999828</v>
      </c>
      <c r="G40" s="174">
        <f>+F40*6</f>
        <v>1.3324799999999897</v>
      </c>
    </row>
    <row r="41" spans="1:7" s="135" customFormat="1" ht="12.75">
      <c r="A41" s="110"/>
      <c r="B41" s="104" t="s">
        <v>360</v>
      </c>
      <c r="C41" s="112">
        <v>0</v>
      </c>
      <c r="D41" s="133">
        <v>0</v>
      </c>
      <c r="E41" s="133">
        <v>0</v>
      </c>
      <c r="F41" s="133">
        <f t="shared" si="1"/>
        <v>0</v>
      </c>
      <c r="G41" s="134">
        <f>+F41*8</f>
        <v>0</v>
      </c>
    </row>
    <row r="42" spans="1:7" s="135" customFormat="1" ht="12" customHeight="1">
      <c r="A42" s="110" t="s">
        <v>30</v>
      </c>
      <c r="B42" s="112" t="s">
        <v>31</v>
      </c>
      <c r="C42" s="112"/>
      <c r="D42" s="133"/>
      <c r="E42" s="133"/>
      <c r="F42" s="133">
        <f t="shared" si="1"/>
        <v>0</v>
      </c>
      <c r="G42" s="134">
        <f>+F42*8</f>
        <v>0</v>
      </c>
    </row>
    <row r="43" spans="1:7" s="132" customFormat="1" ht="12.75">
      <c r="A43" s="100" t="s">
        <v>32</v>
      </c>
      <c r="B43" s="103" t="s">
        <v>33</v>
      </c>
      <c r="C43" s="103">
        <v>23</v>
      </c>
      <c r="D43" s="130">
        <v>34.11</v>
      </c>
      <c r="E43" s="130">
        <v>0</v>
      </c>
      <c r="F43" s="130">
        <f t="shared" si="1"/>
        <v>1.0915199999999956</v>
      </c>
      <c r="G43" s="131">
        <f>+F43*6</f>
        <v>6.549119999999974</v>
      </c>
    </row>
    <row r="44" spans="1:7" s="57" customFormat="1" ht="12.75">
      <c r="A44" s="42" t="s">
        <v>34</v>
      </c>
      <c r="B44" s="24" t="s">
        <v>35</v>
      </c>
      <c r="C44" s="24">
        <v>6</v>
      </c>
      <c r="D44" s="248">
        <v>11.3</v>
      </c>
      <c r="E44" s="248">
        <v>1.33</v>
      </c>
      <c r="F44" s="248">
        <f t="shared" si="1"/>
        <v>0.2818000000000005</v>
      </c>
      <c r="G44" s="249">
        <f>+F44*6</f>
        <v>1.690800000000003</v>
      </c>
    </row>
    <row r="45" spans="1:7" s="22" customFormat="1" ht="12.75">
      <c r="A45" s="21"/>
      <c r="B45" s="18" t="s">
        <v>216</v>
      </c>
      <c r="C45" s="18"/>
      <c r="D45" s="245"/>
      <c r="E45" s="245"/>
      <c r="F45" s="245"/>
      <c r="G45" s="246"/>
    </row>
    <row r="46" spans="1:7" s="22" customFormat="1" ht="12.75">
      <c r="A46" s="21"/>
      <c r="B46" s="18" t="s">
        <v>217</v>
      </c>
      <c r="C46" s="18"/>
      <c r="D46" s="245"/>
      <c r="E46" s="245"/>
      <c r="F46" s="245"/>
      <c r="G46" s="246"/>
    </row>
    <row r="47" spans="1:7" s="22" customFormat="1" ht="12.75">
      <c r="A47" s="21"/>
      <c r="B47" s="18" t="s">
        <v>218</v>
      </c>
      <c r="C47" s="18"/>
      <c r="D47" s="245"/>
      <c r="E47" s="245"/>
      <c r="F47" s="245"/>
      <c r="G47" s="246"/>
    </row>
    <row r="48" spans="1:7" s="22" customFormat="1" ht="12.75">
      <c r="A48" s="21"/>
      <c r="B48" s="18" t="s">
        <v>219</v>
      </c>
      <c r="C48" s="18"/>
      <c r="D48" s="245"/>
      <c r="E48" s="245"/>
      <c r="F48" s="245"/>
      <c r="G48" s="246"/>
    </row>
    <row r="49" spans="1:7" s="22" customFormat="1" ht="12.75">
      <c r="A49" s="21"/>
      <c r="B49" s="18" t="s">
        <v>220</v>
      </c>
      <c r="C49" s="18"/>
      <c r="D49" s="245"/>
      <c r="E49" s="245"/>
      <c r="F49" s="245"/>
      <c r="G49" s="246"/>
    </row>
    <row r="50" spans="1:7" s="22" customFormat="1" ht="12.75">
      <c r="A50" s="21"/>
      <c r="B50" s="18" t="s">
        <v>221</v>
      </c>
      <c r="C50" s="18"/>
      <c r="D50" s="245"/>
      <c r="E50" s="245"/>
      <c r="F50" s="245"/>
      <c r="G50" s="246"/>
    </row>
    <row r="51" spans="1:7" s="69" customFormat="1" ht="12.75">
      <c r="A51" s="71" t="s">
        <v>36</v>
      </c>
      <c r="B51" s="72" t="s">
        <v>37</v>
      </c>
      <c r="C51" s="116">
        <f>+C52+C56+C59+C73</f>
        <v>100</v>
      </c>
      <c r="D51" s="118">
        <f>+D52+D56+D59+D73</f>
        <v>191.83</v>
      </c>
      <c r="E51" s="118">
        <f>+E52+E56+E59+E73</f>
        <v>40.919</v>
      </c>
      <c r="F51" s="118">
        <f>+F52+F56+F59+F73</f>
        <v>3.6860600000000145</v>
      </c>
      <c r="G51" s="124">
        <f>+G52+G56+G59+G73</f>
        <v>22.116360000000086</v>
      </c>
    </row>
    <row r="52" spans="1:7" s="69" customFormat="1" ht="12.75">
      <c r="A52" s="71"/>
      <c r="B52" s="73" t="s">
        <v>115</v>
      </c>
      <c r="C52" s="116">
        <f>+SUM(C53:C55)</f>
        <v>0</v>
      </c>
      <c r="D52" s="118">
        <f>+SUM(D53:D55)</f>
        <v>0</v>
      </c>
      <c r="E52" s="118">
        <f>+SUM(E53:E55)</f>
        <v>0</v>
      </c>
      <c r="F52" s="118">
        <f>+SUM(F53:F55)</f>
        <v>0</v>
      </c>
      <c r="G52" s="124">
        <f>+SUM(G53:G55)</f>
        <v>0</v>
      </c>
    </row>
    <row r="53" spans="1:7" s="62" customFormat="1" ht="12.75">
      <c r="A53" s="76"/>
      <c r="B53" s="86" t="s">
        <v>182</v>
      </c>
      <c r="C53" s="78">
        <v>0</v>
      </c>
      <c r="D53" s="117">
        <v>0</v>
      </c>
      <c r="E53" s="117">
        <v>0</v>
      </c>
      <c r="F53" s="117">
        <f>1.15*(D53*1.08+E53)-1.21*(D53+E53)</f>
        <v>0</v>
      </c>
      <c r="G53" s="125">
        <f>+F53*8</f>
        <v>0</v>
      </c>
    </row>
    <row r="54" spans="1:7" s="62" customFormat="1" ht="12" customHeight="1">
      <c r="A54" s="76"/>
      <c r="B54" s="86" t="s">
        <v>247</v>
      </c>
      <c r="C54" s="78">
        <v>0</v>
      </c>
      <c r="D54" s="117">
        <v>0</v>
      </c>
      <c r="E54" s="117">
        <v>0</v>
      </c>
      <c r="F54" s="117">
        <f>1.15*(D54*1.08+E54)-1.21*(D54+E54)</f>
        <v>0</v>
      </c>
      <c r="G54" s="126">
        <f>+F54*8</f>
        <v>0</v>
      </c>
    </row>
    <row r="55" spans="1:7" s="62" customFormat="1" ht="11.25" customHeight="1">
      <c r="A55" s="76"/>
      <c r="B55" s="86" t="s">
        <v>183</v>
      </c>
      <c r="C55" s="78">
        <v>0</v>
      </c>
      <c r="D55" s="117">
        <v>0</v>
      </c>
      <c r="E55" s="117">
        <v>0</v>
      </c>
      <c r="F55" s="117">
        <f>1.15*(D55*1.08+E55)-1.21*(D55+E55)</f>
        <v>0</v>
      </c>
      <c r="G55" s="126">
        <f>+F55*8</f>
        <v>0</v>
      </c>
    </row>
    <row r="56" spans="1:7" s="132" customFormat="1" ht="12.75">
      <c r="A56" s="100"/>
      <c r="B56" s="199" t="s">
        <v>116</v>
      </c>
      <c r="C56" s="233">
        <f>SUM(C57:C58)</f>
        <v>4</v>
      </c>
      <c r="D56" s="233">
        <f>SUM(D57:D58)</f>
        <v>7.73</v>
      </c>
      <c r="E56" s="233">
        <f>SUM(E57:E58)</f>
        <v>0</v>
      </c>
      <c r="F56" s="233">
        <f>SUM(F57:F58)</f>
        <v>0.25</v>
      </c>
      <c r="G56" s="161">
        <f>SUM(G57:G58)</f>
        <v>1.5</v>
      </c>
    </row>
    <row r="57" spans="1:7" s="135" customFormat="1" ht="12.75">
      <c r="A57" s="110"/>
      <c r="B57" s="159" t="s">
        <v>359</v>
      </c>
      <c r="C57" s="112">
        <v>0</v>
      </c>
      <c r="D57" s="133">
        <v>0</v>
      </c>
      <c r="E57" s="133">
        <v>0</v>
      </c>
      <c r="F57" s="133">
        <f>1.15*(D57*1.08+E57)-1.21*(D57+E57)</f>
        <v>0</v>
      </c>
      <c r="G57" s="134">
        <f>+F57*8</f>
        <v>0</v>
      </c>
    </row>
    <row r="58" spans="1:7" s="135" customFormat="1" ht="12.75">
      <c r="A58" s="110"/>
      <c r="B58" s="159" t="s">
        <v>358</v>
      </c>
      <c r="C58" s="112">
        <v>4</v>
      </c>
      <c r="D58" s="133">
        <v>7.73</v>
      </c>
      <c r="E58" s="133">
        <v>0</v>
      </c>
      <c r="F58" s="133">
        <v>0.25</v>
      </c>
      <c r="G58" s="174">
        <f>+F58*6</f>
        <v>1.5</v>
      </c>
    </row>
    <row r="59" spans="1:7" s="132" customFormat="1" ht="12.75">
      <c r="A59" s="100"/>
      <c r="B59" s="199" t="s">
        <v>117</v>
      </c>
      <c r="C59" s="103">
        <f>+C60+C72</f>
        <v>96</v>
      </c>
      <c r="D59" s="130">
        <f>+D60+D72</f>
        <v>184.10000000000002</v>
      </c>
      <c r="E59" s="130">
        <f>+E60+E72</f>
        <v>40.919</v>
      </c>
      <c r="F59" s="130">
        <f>+F60+F72</f>
        <v>3.4360600000000145</v>
      </c>
      <c r="G59" s="177">
        <f>+G60+G72</f>
        <v>20.616360000000086</v>
      </c>
    </row>
    <row r="60" spans="1:7" s="190" customFormat="1" ht="12.75">
      <c r="A60" s="186"/>
      <c r="B60" s="187" t="s">
        <v>303</v>
      </c>
      <c r="C60" s="188">
        <f>+C61+C66</f>
        <v>63</v>
      </c>
      <c r="D60" s="189">
        <f>+D61+D66</f>
        <v>111.62</v>
      </c>
      <c r="E60" s="189">
        <f>+E61+E66</f>
        <v>20.32</v>
      </c>
      <c r="F60" s="189">
        <f>+F61+F66</f>
        <v>2.3526400000000107</v>
      </c>
      <c r="G60" s="204">
        <f>+G61+G66</f>
        <v>14.115840000000064</v>
      </c>
    </row>
    <row r="61" spans="1:7" s="135" customFormat="1" ht="12.75">
      <c r="A61" s="110"/>
      <c r="B61" s="159" t="s">
        <v>265</v>
      </c>
      <c r="C61" s="112">
        <f>+SUM(C62:C65)</f>
        <v>16</v>
      </c>
      <c r="D61" s="133">
        <f>+SUM(D62:D65)</f>
        <v>32.89</v>
      </c>
      <c r="E61" s="133">
        <f>+SUM(E62:E65)</f>
        <v>0.2</v>
      </c>
      <c r="F61" s="133">
        <f>+SUM(F62:F65)</f>
        <v>1.0404800000000058</v>
      </c>
      <c r="G61" s="174">
        <f>+SUM(G62:G65)</f>
        <v>6.242880000000035</v>
      </c>
    </row>
    <row r="62" spans="1:7" s="135" customFormat="1" ht="12.75">
      <c r="A62" s="110"/>
      <c r="B62" s="141" t="s">
        <v>268</v>
      </c>
      <c r="C62" s="112">
        <v>0</v>
      </c>
      <c r="D62" s="133">
        <v>0</v>
      </c>
      <c r="E62" s="133">
        <v>0</v>
      </c>
      <c r="F62" s="133">
        <f>1.15*(D62*1.08+E62)-1.21*(D62+E62)</f>
        <v>0</v>
      </c>
      <c r="G62" s="174">
        <f>+F62*6</f>
        <v>0</v>
      </c>
    </row>
    <row r="63" spans="1:7" s="135" customFormat="1" ht="12.75">
      <c r="A63" s="110"/>
      <c r="B63" s="141" t="s">
        <v>269</v>
      </c>
      <c r="C63" s="112">
        <v>4</v>
      </c>
      <c r="D63" s="133">
        <v>8.77</v>
      </c>
      <c r="E63" s="133">
        <v>0</v>
      </c>
      <c r="F63" s="133">
        <f aca="true" t="shared" si="3" ref="F63:F71">1.15*(D63*1.08+E63)-1.21*(D63+E63)</f>
        <v>0.28064</v>
      </c>
      <c r="G63" s="174">
        <f>+F63*6</f>
        <v>1.68384</v>
      </c>
    </row>
    <row r="64" spans="1:7" s="135" customFormat="1" ht="12.75">
      <c r="A64" s="110"/>
      <c r="B64" s="141" t="s">
        <v>270</v>
      </c>
      <c r="C64" s="112">
        <v>7</v>
      </c>
      <c r="D64" s="133">
        <v>15</v>
      </c>
      <c r="E64" s="133">
        <v>0</v>
      </c>
      <c r="F64" s="133">
        <f t="shared" si="3"/>
        <v>0.480000000000004</v>
      </c>
      <c r="G64" s="174">
        <f>+F64*6</f>
        <v>2.880000000000024</v>
      </c>
    </row>
    <row r="65" spans="1:7" s="135" customFormat="1" ht="12.75">
      <c r="A65" s="110"/>
      <c r="B65" s="141" t="s">
        <v>267</v>
      </c>
      <c r="C65" s="112">
        <v>5</v>
      </c>
      <c r="D65" s="133">
        <v>9.12</v>
      </c>
      <c r="E65" s="133">
        <v>0.2</v>
      </c>
      <c r="F65" s="133">
        <f t="shared" si="3"/>
        <v>0.27984000000000187</v>
      </c>
      <c r="G65" s="174">
        <f>+F65*6</f>
        <v>1.6790400000000112</v>
      </c>
    </row>
    <row r="66" spans="1:7" s="135" customFormat="1" ht="12.75">
      <c r="A66" s="110"/>
      <c r="B66" s="159" t="s">
        <v>266</v>
      </c>
      <c r="C66" s="112">
        <f>+SUM(C67:C71)</f>
        <v>47</v>
      </c>
      <c r="D66" s="133">
        <f>+SUM(D67:D71)</f>
        <v>78.73</v>
      </c>
      <c r="E66" s="133">
        <f>+SUM(E67:E71)</f>
        <v>20.12</v>
      </c>
      <c r="F66" s="133">
        <f>+SUM(F67:F71)</f>
        <v>1.3121600000000049</v>
      </c>
      <c r="G66" s="174">
        <f>+SUM(G67:G71)</f>
        <v>7.872960000000029</v>
      </c>
    </row>
    <row r="67" spans="1:7" s="135" customFormat="1" ht="12.75">
      <c r="A67" s="110"/>
      <c r="B67" s="141" t="s">
        <v>271</v>
      </c>
      <c r="C67" s="112">
        <v>14</v>
      </c>
      <c r="D67" s="133">
        <v>30.35</v>
      </c>
      <c r="E67" s="133">
        <v>6.83</v>
      </c>
      <c r="F67" s="133">
        <f>1.15*(D67*1.08+E67)-1.21*(D67+E67)</f>
        <v>0.561399999999999</v>
      </c>
      <c r="G67" s="174">
        <f aca="true" t="shared" si="4" ref="G67:G72">+F67*6</f>
        <v>3.368399999999994</v>
      </c>
    </row>
    <row r="68" spans="1:7" s="135" customFormat="1" ht="12.75">
      <c r="A68" s="110"/>
      <c r="B68" s="141" t="s">
        <v>272</v>
      </c>
      <c r="C68" s="112">
        <v>0</v>
      </c>
      <c r="D68" s="133">
        <v>0</v>
      </c>
      <c r="E68" s="133">
        <v>0</v>
      </c>
      <c r="F68" s="133">
        <f>1.15*(D68*1.08+E68)-1.21*(D68+E68)</f>
        <v>0</v>
      </c>
      <c r="G68" s="174">
        <f t="shared" si="4"/>
        <v>0</v>
      </c>
    </row>
    <row r="69" spans="1:7" s="135" customFormat="1" ht="12.75">
      <c r="A69" s="110"/>
      <c r="B69" s="141" t="s">
        <v>273</v>
      </c>
      <c r="C69" s="112">
        <v>31</v>
      </c>
      <c r="D69" s="133">
        <v>43.99</v>
      </c>
      <c r="E69" s="133">
        <v>13.06</v>
      </c>
      <c r="F69" s="133">
        <f>1.15*(D69*1.08+E69)-1.21*(D69+E69)</f>
        <v>0.6240800000000064</v>
      </c>
      <c r="G69" s="174">
        <f t="shared" si="4"/>
        <v>3.7444800000000384</v>
      </c>
    </row>
    <row r="70" spans="1:7" s="135" customFormat="1" ht="12.75">
      <c r="A70" s="110"/>
      <c r="B70" s="141" t="s">
        <v>274</v>
      </c>
      <c r="C70" s="112">
        <v>0</v>
      </c>
      <c r="D70" s="133">
        <v>0</v>
      </c>
      <c r="E70" s="133">
        <v>0</v>
      </c>
      <c r="F70" s="133">
        <f>1.15*(D70*1.08+E70)-1.21*(D70+E70)</f>
        <v>0</v>
      </c>
      <c r="G70" s="174">
        <f t="shared" si="4"/>
        <v>0</v>
      </c>
    </row>
    <row r="71" spans="1:7" s="135" customFormat="1" ht="12.75">
      <c r="A71" s="110"/>
      <c r="B71" s="141" t="s">
        <v>275</v>
      </c>
      <c r="C71" s="112">
        <v>2</v>
      </c>
      <c r="D71" s="133">
        <v>4.39</v>
      </c>
      <c r="E71" s="133">
        <v>0.23</v>
      </c>
      <c r="F71" s="133">
        <f t="shared" si="3"/>
        <v>0.12667999999999946</v>
      </c>
      <c r="G71" s="174">
        <f t="shared" si="4"/>
        <v>0.7600799999999968</v>
      </c>
    </row>
    <row r="72" spans="1:7" s="190" customFormat="1" ht="12.75">
      <c r="A72" s="186"/>
      <c r="B72" s="187" t="s">
        <v>264</v>
      </c>
      <c r="C72" s="188">
        <v>33</v>
      </c>
      <c r="D72" s="189">
        <v>72.48</v>
      </c>
      <c r="E72" s="189">
        <v>20.599</v>
      </c>
      <c r="F72" s="189">
        <f>1.15*(D72*1.08+E72)-1.21*(D72+E72)</f>
        <v>1.0834200000000038</v>
      </c>
      <c r="G72" s="204">
        <f t="shared" si="4"/>
        <v>6.500520000000023</v>
      </c>
    </row>
    <row r="73" spans="1:7" s="69" customFormat="1" ht="12.75">
      <c r="A73" s="71"/>
      <c r="B73" s="73" t="s">
        <v>118</v>
      </c>
      <c r="C73" s="72"/>
      <c r="D73" s="118"/>
      <c r="E73" s="118"/>
      <c r="F73" s="118"/>
      <c r="G73" s="124">
        <f>+G74+G75</f>
        <v>0</v>
      </c>
    </row>
    <row r="74" spans="1:7" s="135" customFormat="1" ht="12.75">
      <c r="A74" s="110"/>
      <c r="B74" s="159" t="s">
        <v>176</v>
      </c>
      <c r="C74" s="112">
        <v>0</v>
      </c>
      <c r="D74" s="133">
        <v>0</v>
      </c>
      <c r="E74" s="133">
        <v>0</v>
      </c>
      <c r="F74" s="133">
        <f>1.15*(D74*1.08+E74)-1.21*(D74+E74)</f>
        <v>0</v>
      </c>
      <c r="G74" s="134">
        <f>+F74*8</f>
        <v>0</v>
      </c>
    </row>
    <row r="75" spans="1:7" s="62" customFormat="1" ht="12.75">
      <c r="A75" s="76"/>
      <c r="B75" s="86" t="s">
        <v>213</v>
      </c>
      <c r="C75" s="78">
        <v>0</v>
      </c>
      <c r="D75" s="117">
        <v>0</v>
      </c>
      <c r="E75" s="117">
        <v>0</v>
      </c>
      <c r="F75" s="117">
        <f>1.15*(D75*1.08+E75)-1.21*(D75+E75)</f>
        <v>0</v>
      </c>
      <c r="G75" s="126">
        <f>+F75*8</f>
        <v>0</v>
      </c>
    </row>
    <row r="76" spans="1:7" s="69" customFormat="1" ht="12.75">
      <c r="A76" s="71" t="s">
        <v>157</v>
      </c>
      <c r="B76" s="73" t="s">
        <v>156</v>
      </c>
      <c r="C76" s="116">
        <f>+SUM(C77:C84)</f>
        <v>22</v>
      </c>
      <c r="D76" s="116">
        <f>+SUM(D77:D84)</f>
        <v>23.27</v>
      </c>
      <c r="E76" s="116">
        <f>+SUM(E77:E84)</f>
        <v>3</v>
      </c>
      <c r="F76" s="116">
        <f>+SUM(F77:F84)</f>
        <v>0.5646400000000007</v>
      </c>
      <c r="G76" s="222">
        <f>+SUM(G77:G84)</f>
        <v>3.387840000000004</v>
      </c>
    </row>
    <row r="77" spans="1:7" s="132" customFormat="1" ht="25.5">
      <c r="A77" s="100"/>
      <c r="B77" s="159" t="s">
        <v>186</v>
      </c>
      <c r="C77" s="233">
        <v>7</v>
      </c>
      <c r="D77" s="130">
        <v>12</v>
      </c>
      <c r="E77" s="130">
        <v>3</v>
      </c>
      <c r="F77" s="133">
        <f>1.15*(D77*1.08+E77)-1.21*(D77+E77)</f>
        <v>0.20400000000000063</v>
      </c>
      <c r="G77" s="174">
        <f>+F77*6</f>
        <v>1.2240000000000038</v>
      </c>
    </row>
    <row r="78" spans="1:7" s="135" customFormat="1" ht="12.75">
      <c r="A78" s="110"/>
      <c r="B78" s="159" t="s">
        <v>230</v>
      </c>
      <c r="C78" s="112">
        <v>7</v>
      </c>
      <c r="D78" s="133">
        <v>0</v>
      </c>
      <c r="E78" s="133">
        <v>0</v>
      </c>
      <c r="F78" s="133">
        <f aca="true" t="shared" si="5" ref="F78:F92">1.15*(D78*1.08+E78)-1.21*(D78+E78)</f>
        <v>0</v>
      </c>
      <c r="G78" s="134">
        <f aca="true" t="shared" si="6" ref="G78:G84">+F78*8</f>
        <v>0</v>
      </c>
    </row>
    <row r="79" spans="1:7" s="135" customFormat="1" ht="12.75">
      <c r="A79" s="110"/>
      <c r="B79" s="159" t="s">
        <v>231</v>
      </c>
      <c r="C79" s="112">
        <v>3</v>
      </c>
      <c r="D79" s="133">
        <v>0</v>
      </c>
      <c r="E79" s="133">
        <v>0</v>
      </c>
      <c r="F79" s="133">
        <f t="shared" si="5"/>
        <v>0</v>
      </c>
      <c r="G79" s="134">
        <f t="shared" si="6"/>
        <v>0</v>
      </c>
    </row>
    <row r="80" spans="1:7" s="135" customFormat="1" ht="12.75">
      <c r="A80" s="110"/>
      <c r="B80" s="159" t="s">
        <v>248</v>
      </c>
      <c r="C80" s="112">
        <v>5</v>
      </c>
      <c r="D80" s="133">
        <v>11.27</v>
      </c>
      <c r="E80" s="133">
        <v>0</v>
      </c>
      <c r="F80" s="133">
        <f>1.15*(D80*1.08+E80)-1.21*(D80+E80)</f>
        <v>0.36064000000000007</v>
      </c>
      <c r="G80" s="174">
        <f>+F80*6</f>
        <v>2.1638400000000004</v>
      </c>
    </row>
    <row r="81" spans="1:7" s="135" customFormat="1" ht="12.75">
      <c r="A81" s="110"/>
      <c r="B81" s="159" t="s">
        <v>232</v>
      </c>
      <c r="C81" s="112">
        <v>0</v>
      </c>
      <c r="D81" s="133">
        <v>0</v>
      </c>
      <c r="E81" s="133">
        <v>0</v>
      </c>
      <c r="F81" s="133">
        <f t="shared" si="5"/>
        <v>0</v>
      </c>
      <c r="G81" s="172">
        <f t="shared" si="6"/>
        <v>0</v>
      </c>
    </row>
    <row r="82" spans="1:7" s="135" customFormat="1" ht="12.75">
      <c r="A82" s="110"/>
      <c r="B82" s="159" t="s">
        <v>233</v>
      </c>
      <c r="C82" s="112">
        <v>0</v>
      </c>
      <c r="D82" s="133">
        <v>0</v>
      </c>
      <c r="E82" s="133">
        <v>0</v>
      </c>
      <c r="F82" s="133">
        <f t="shared" si="5"/>
        <v>0</v>
      </c>
      <c r="G82" s="172">
        <f t="shared" si="6"/>
        <v>0</v>
      </c>
    </row>
    <row r="83" spans="1:7" s="135" customFormat="1" ht="12.75">
      <c r="A83" s="110"/>
      <c r="B83" s="159" t="s">
        <v>234</v>
      </c>
      <c r="C83" s="112">
        <v>0</v>
      </c>
      <c r="D83" s="133">
        <v>0</v>
      </c>
      <c r="E83" s="133">
        <v>0</v>
      </c>
      <c r="F83" s="133">
        <f t="shared" si="5"/>
        <v>0</v>
      </c>
      <c r="G83" s="172">
        <f t="shared" si="6"/>
        <v>0</v>
      </c>
    </row>
    <row r="84" spans="1:7" s="135" customFormat="1" ht="12.75">
      <c r="A84" s="110"/>
      <c r="B84" s="159" t="s">
        <v>235</v>
      </c>
      <c r="C84" s="112">
        <v>0</v>
      </c>
      <c r="D84" s="133">
        <v>0</v>
      </c>
      <c r="E84" s="133">
        <v>0</v>
      </c>
      <c r="F84" s="133">
        <f t="shared" si="5"/>
        <v>0</v>
      </c>
      <c r="G84" s="172">
        <f t="shared" si="6"/>
        <v>0</v>
      </c>
    </row>
    <row r="85" spans="1:7" s="69" customFormat="1" ht="12.75">
      <c r="A85" s="71" t="s">
        <v>38</v>
      </c>
      <c r="B85" s="72" t="s">
        <v>39</v>
      </c>
      <c r="C85" s="72">
        <f>+C86+C140</f>
        <v>195</v>
      </c>
      <c r="D85" s="118">
        <f>+D86+D140</f>
        <v>453.457</v>
      </c>
      <c r="E85" s="118">
        <f>+E86+E140</f>
        <v>24.491</v>
      </c>
      <c r="F85" s="118">
        <f>+F86+F140</f>
        <v>16.126368000000006</v>
      </c>
      <c r="G85" s="124">
        <f>+G86+G140</f>
        <v>99.35188800000002</v>
      </c>
    </row>
    <row r="86" spans="1:7" s="62" customFormat="1" ht="12.75">
      <c r="A86" s="76"/>
      <c r="B86" s="77" t="s">
        <v>40</v>
      </c>
      <c r="C86" s="78">
        <f>+SUM(C87:C93,C96,C100:C102,C106,C109:C113,C118,C121,C125,C135,C138:C139)</f>
        <v>154</v>
      </c>
      <c r="D86" s="117">
        <f>+SUM(D87:D93,D96,D100:D102,D106,D109:D113,D118,D121,D125,D135,D138:D139)</f>
        <v>352.049</v>
      </c>
      <c r="E86" s="117">
        <f>+SUM(E87:E93,E96,E100:E102,E106,E109:E113,E118,E121,E125,E135,E138:E139)</f>
        <v>21.46</v>
      </c>
      <c r="F86" s="117">
        <f>+SUM(F87:F93,F96,F100:F102,F106,F109:F113,F118,F121,F125,F135,F138:F139)</f>
        <v>10.802968000000009</v>
      </c>
      <c r="G86" s="125">
        <f>+SUM(G87:G93,G96,G100:G102,G106,G109:G113,G118,G121,G125,G135,G138:G139)</f>
        <v>67.27884800000004</v>
      </c>
    </row>
    <row r="87" spans="1:7" s="132" customFormat="1" ht="12.75">
      <c r="A87" s="100"/>
      <c r="B87" s="129" t="s">
        <v>119</v>
      </c>
      <c r="C87" s="103">
        <v>0</v>
      </c>
      <c r="D87" s="130">
        <v>0</v>
      </c>
      <c r="E87" s="130">
        <v>0</v>
      </c>
      <c r="F87" s="130">
        <f t="shared" si="5"/>
        <v>0</v>
      </c>
      <c r="G87" s="131">
        <f>+F87*8</f>
        <v>0</v>
      </c>
    </row>
    <row r="88" spans="1:7" s="69" customFormat="1" ht="12.75">
      <c r="A88" s="71"/>
      <c r="B88" s="93" t="s">
        <v>120</v>
      </c>
      <c r="C88" s="72">
        <v>0</v>
      </c>
      <c r="D88" s="118">
        <v>0</v>
      </c>
      <c r="E88" s="118">
        <v>0</v>
      </c>
      <c r="F88" s="118">
        <f t="shared" si="5"/>
        <v>0</v>
      </c>
      <c r="G88" s="124">
        <f>+F88*8</f>
        <v>0</v>
      </c>
    </row>
    <row r="89" spans="1:7" s="132" customFormat="1" ht="12.75">
      <c r="A89" s="100"/>
      <c r="B89" s="129" t="s">
        <v>121</v>
      </c>
      <c r="C89" s="103">
        <v>3</v>
      </c>
      <c r="D89" s="130">
        <v>5.98</v>
      </c>
      <c r="E89" s="130">
        <v>1.495</v>
      </c>
      <c r="F89" s="130">
        <f t="shared" si="5"/>
        <v>0.10166000000000075</v>
      </c>
      <c r="G89" s="131">
        <f>+F89*6</f>
        <v>0.6099600000000045</v>
      </c>
    </row>
    <row r="90" spans="1:7" s="132" customFormat="1" ht="12.75">
      <c r="A90" s="100"/>
      <c r="B90" s="129" t="s">
        <v>122</v>
      </c>
      <c r="C90" s="103">
        <v>3</v>
      </c>
      <c r="D90" s="130">
        <v>8.1</v>
      </c>
      <c r="E90" s="130">
        <v>0</v>
      </c>
      <c r="F90" s="161">
        <v>0.25</v>
      </c>
      <c r="G90" s="177">
        <f>+F90*6</f>
        <v>1.5</v>
      </c>
    </row>
    <row r="91" spans="1:7" s="132" customFormat="1" ht="12.75">
      <c r="A91" s="100"/>
      <c r="B91" s="129" t="s">
        <v>123</v>
      </c>
      <c r="C91" s="103">
        <v>5</v>
      </c>
      <c r="D91" s="130">
        <v>11.7</v>
      </c>
      <c r="E91" s="130">
        <v>0</v>
      </c>
      <c r="F91" s="130">
        <f t="shared" si="5"/>
        <v>0.3743999999999996</v>
      </c>
      <c r="G91" s="177">
        <f>+F91*6</f>
        <v>2.2463999999999977</v>
      </c>
    </row>
    <row r="92" spans="1:7" s="132" customFormat="1" ht="12.75">
      <c r="A92" s="100"/>
      <c r="B92" s="129" t="s">
        <v>124</v>
      </c>
      <c r="C92" s="103">
        <v>5</v>
      </c>
      <c r="D92" s="130">
        <v>10.27</v>
      </c>
      <c r="E92" s="130">
        <v>0</v>
      </c>
      <c r="F92" s="130">
        <f t="shared" si="5"/>
        <v>0.32864000000000004</v>
      </c>
      <c r="G92" s="177">
        <f>+F92*6</f>
        <v>1.9718400000000003</v>
      </c>
    </row>
    <row r="93" spans="1:7" s="132" customFormat="1" ht="12.75">
      <c r="A93" s="100"/>
      <c r="B93" s="129" t="s">
        <v>175</v>
      </c>
      <c r="C93" s="103">
        <f>+SUM(C94:C95)</f>
        <v>7</v>
      </c>
      <c r="D93" s="130">
        <f>+SUM(D94:D95)</f>
        <v>16.38</v>
      </c>
      <c r="E93" s="130">
        <f>+SUM(E94:E95)</f>
        <v>0.04</v>
      </c>
      <c r="F93" s="130">
        <f>+SUM(F94:F95)</f>
        <v>1.2176</v>
      </c>
      <c r="G93" s="177">
        <f>+SUM(G94:G95)</f>
        <v>7.300800000000001</v>
      </c>
    </row>
    <row r="94" spans="1:7" s="135" customFormat="1" ht="12.75">
      <c r="A94" s="110"/>
      <c r="B94" s="173" t="s">
        <v>174</v>
      </c>
      <c r="C94" s="112">
        <v>0</v>
      </c>
      <c r="D94" s="133">
        <v>0</v>
      </c>
      <c r="E94" s="133">
        <v>0.04</v>
      </c>
      <c r="F94" s="133">
        <f>1.15*(D94*1.08+E94)-1.21*(D94+E94)</f>
        <v>-0.0023999999999999994</v>
      </c>
      <c r="G94" s="134">
        <f>+F94*8</f>
        <v>-0.019199999999999995</v>
      </c>
    </row>
    <row r="95" spans="1:7" s="135" customFormat="1" ht="12.75">
      <c r="A95" s="110"/>
      <c r="B95" s="173" t="s">
        <v>173</v>
      </c>
      <c r="C95" s="112">
        <v>7</v>
      </c>
      <c r="D95" s="133">
        <v>16.38</v>
      </c>
      <c r="E95" s="133">
        <v>0</v>
      </c>
      <c r="F95" s="133">
        <v>1.22</v>
      </c>
      <c r="G95" s="174">
        <f>+F95*6</f>
        <v>7.32</v>
      </c>
    </row>
    <row r="96" spans="1:7" s="132" customFormat="1" ht="12.75">
      <c r="A96" s="100"/>
      <c r="B96" s="129" t="s">
        <v>126</v>
      </c>
      <c r="C96" s="103">
        <f>+SUM(C97:C99)</f>
        <v>4</v>
      </c>
      <c r="D96" s="130">
        <f>+SUM(D97:D99)</f>
        <v>8.7</v>
      </c>
      <c r="E96" s="130">
        <f>+SUM(E97:E99)</f>
        <v>0</v>
      </c>
      <c r="F96" s="130">
        <f>+SUM(F97:F99)</f>
        <v>0.279</v>
      </c>
      <c r="G96" s="177">
        <f>+SUM(G97:G99)</f>
        <v>1.6740000000000002</v>
      </c>
    </row>
    <row r="97" spans="1:7" s="135" customFormat="1" ht="12.75">
      <c r="A97" s="110"/>
      <c r="B97" s="173" t="s">
        <v>211</v>
      </c>
      <c r="C97" s="112">
        <v>0</v>
      </c>
      <c r="D97" s="133">
        <v>0</v>
      </c>
      <c r="E97" s="133">
        <v>0</v>
      </c>
      <c r="F97" s="133">
        <f aca="true" t="shared" si="7" ref="F97:F105">1.15*(D97*1.08+E97)-1.21*(D97+E97)</f>
        <v>0</v>
      </c>
      <c r="G97" s="174">
        <f>+F97*8</f>
        <v>0</v>
      </c>
    </row>
    <row r="98" spans="1:7" s="135" customFormat="1" ht="12.75">
      <c r="A98" s="110"/>
      <c r="B98" s="173" t="s">
        <v>212</v>
      </c>
      <c r="C98" s="112">
        <v>3</v>
      </c>
      <c r="D98" s="133">
        <v>7.02</v>
      </c>
      <c r="E98" s="133">
        <v>0</v>
      </c>
      <c r="F98" s="133">
        <v>0.225</v>
      </c>
      <c r="G98" s="174">
        <f>+F98*6</f>
        <v>1.35</v>
      </c>
    </row>
    <row r="99" spans="1:7" s="135" customFormat="1" ht="12.75">
      <c r="A99" s="110"/>
      <c r="B99" s="173" t="s">
        <v>214</v>
      </c>
      <c r="C99" s="112">
        <v>1</v>
      </c>
      <c r="D99" s="133">
        <v>1.68</v>
      </c>
      <c r="E99" s="133">
        <v>0</v>
      </c>
      <c r="F99" s="133">
        <v>0.054</v>
      </c>
      <c r="G99" s="174">
        <f>+F99*6</f>
        <v>0.324</v>
      </c>
    </row>
    <row r="100" spans="1:7" s="132" customFormat="1" ht="12.75">
      <c r="A100" s="100"/>
      <c r="B100" s="129" t="s">
        <v>127</v>
      </c>
      <c r="C100" s="103">
        <v>0</v>
      </c>
      <c r="D100" s="130">
        <v>0</v>
      </c>
      <c r="E100" s="130">
        <v>0</v>
      </c>
      <c r="F100" s="130">
        <f t="shared" si="7"/>
        <v>0</v>
      </c>
      <c r="G100" s="131">
        <f>+F100*8</f>
        <v>0</v>
      </c>
    </row>
    <row r="101" spans="1:7" s="132" customFormat="1" ht="12.75">
      <c r="A101" s="100"/>
      <c r="B101" s="129" t="s">
        <v>128</v>
      </c>
      <c r="C101" s="103">
        <v>10</v>
      </c>
      <c r="D101" s="130">
        <v>22.47</v>
      </c>
      <c r="E101" s="130">
        <v>2</v>
      </c>
      <c r="F101" s="130">
        <v>0.7</v>
      </c>
      <c r="G101" s="177">
        <f>+F101*6</f>
        <v>4.199999999999999</v>
      </c>
    </row>
    <row r="102" spans="1:7" s="132" customFormat="1" ht="12.75">
      <c r="A102" s="100"/>
      <c r="B102" s="199" t="s">
        <v>129</v>
      </c>
      <c r="C102" s="103">
        <v>14</v>
      </c>
      <c r="D102" s="130">
        <v>26.84</v>
      </c>
      <c r="E102" s="130">
        <v>7.025</v>
      </c>
      <c r="F102" s="130">
        <f t="shared" si="7"/>
        <v>0.43737999999999744</v>
      </c>
      <c r="G102" s="177">
        <f>+F102*6</f>
        <v>2.6242799999999846</v>
      </c>
    </row>
    <row r="103" spans="1:7" s="135" customFormat="1" ht="12.75">
      <c r="A103" s="110"/>
      <c r="B103" s="159" t="s">
        <v>286</v>
      </c>
      <c r="C103" s="112">
        <v>6</v>
      </c>
      <c r="D103" s="133">
        <v>11.38</v>
      </c>
      <c r="E103" s="133">
        <v>3.045</v>
      </c>
      <c r="F103" s="133">
        <f t="shared" si="7"/>
        <v>0.18145999999999773</v>
      </c>
      <c r="G103" s="174">
        <f>+F103*6</f>
        <v>1.0887599999999864</v>
      </c>
    </row>
    <row r="104" spans="1:7" s="135" customFormat="1" ht="12.75">
      <c r="A104" s="110"/>
      <c r="B104" s="159" t="s">
        <v>296</v>
      </c>
      <c r="C104" s="112">
        <v>3</v>
      </c>
      <c r="D104" s="133">
        <v>4.94</v>
      </c>
      <c r="E104" s="133">
        <v>1.24</v>
      </c>
      <c r="F104" s="133">
        <f t="shared" si="7"/>
        <v>0.0836800000000002</v>
      </c>
      <c r="G104" s="174">
        <f>+F104*6</f>
        <v>0.5020800000000012</v>
      </c>
    </row>
    <row r="105" spans="1:7" s="135" customFormat="1" ht="12.75">
      <c r="A105" s="110"/>
      <c r="B105" s="159" t="s">
        <v>297</v>
      </c>
      <c r="C105" s="112">
        <v>5</v>
      </c>
      <c r="D105" s="133">
        <v>10.52</v>
      </c>
      <c r="E105" s="133">
        <v>2.74</v>
      </c>
      <c r="F105" s="133">
        <f t="shared" si="7"/>
        <v>0.17224000000000217</v>
      </c>
      <c r="G105" s="174">
        <f>+F105*6</f>
        <v>1.033440000000013</v>
      </c>
    </row>
    <row r="106" spans="1:7" s="132" customFormat="1" ht="12.75">
      <c r="A106" s="100"/>
      <c r="B106" s="129" t="s">
        <v>130</v>
      </c>
      <c r="C106" s="103">
        <f>SUM(C107:C108)</f>
        <v>23</v>
      </c>
      <c r="D106" s="103">
        <f>SUM(D107:D108)</f>
        <v>51.09</v>
      </c>
      <c r="E106" s="103">
        <f>SUM(E107:E108)</f>
        <v>1.7</v>
      </c>
      <c r="F106" s="161">
        <f>SUM(F107:F108)</f>
        <v>1.5328800000000022</v>
      </c>
      <c r="G106" s="161">
        <f>SUM(G107:G108)</f>
        <v>9.197280000000013</v>
      </c>
    </row>
    <row r="107" spans="1:7" s="135" customFormat="1" ht="12.75">
      <c r="A107" s="110"/>
      <c r="B107" s="175" t="s">
        <v>261</v>
      </c>
      <c r="C107" s="112">
        <v>20</v>
      </c>
      <c r="D107" s="133">
        <v>44.31</v>
      </c>
      <c r="E107" s="133">
        <v>0</v>
      </c>
      <c r="F107" s="133">
        <f>1.15*(D107*1.08+E107)-1.21*(D107+E107)</f>
        <v>1.4179200000000023</v>
      </c>
      <c r="G107" s="174">
        <f>+F107*6</f>
        <v>8.507520000000014</v>
      </c>
    </row>
    <row r="108" spans="1:7" s="135" customFormat="1" ht="12.75">
      <c r="A108" s="110"/>
      <c r="B108" s="175" t="s">
        <v>262</v>
      </c>
      <c r="C108" s="112">
        <v>3</v>
      </c>
      <c r="D108" s="133">
        <v>6.78</v>
      </c>
      <c r="E108" s="133">
        <v>1.7</v>
      </c>
      <c r="F108" s="133">
        <f>1.15*(D108*1.08+E108)-1.21*(D108+E108)</f>
        <v>0.11495999999999995</v>
      </c>
      <c r="G108" s="174">
        <f>+F108*6</f>
        <v>0.6897599999999997</v>
      </c>
    </row>
    <row r="109" spans="1:7" s="132" customFormat="1" ht="12.75">
      <c r="A109" s="100"/>
      <c r="B109" s="129" t="s">
        <v>131</v>
      </c>
      <c r="C109" s="103">
        <v>0</v>
      </c>
      <c r="D109" s="130">
        <v>0</v>
      </c>
      <c r="E109" s="130">
        <v>0</v>
      </c>
      <c r="F109" s="130">
        <f>1.15*(D109*1.08+E109)-1.21*(D109+E109)</f>
        <v>0</v>
      </c>
      <c r="G109" s="131">
        <f>+F109*8</f>
        <v>0</v>
      </c>
    </row>
    <row r="110" spans="1:7" s="132" customFormat="1" ht="12.75">
      <c r="A110" s="100"/>
      <c r="B110" s="129" t="s">
        <v>132</v>
      </c>
      <c r="C110" s="103">
        <f>+C111+C112</f>
        <v>5</v>
      </c>
      <c r="D110" s="130">
        <f>+D111+D112</f>
        <v>10.23</v>
      </c>
      <c r="E110" s="130">
        <f>+E111+E112</f>
        <v>0</v>
      </c>
      <c r="F110" s="130">
        <f>+F111+F112</f>
        <v>0.32736000000000054</v>
      </c>
      <c r="G110" s="177">
        <f>+G111+G112</f>
        <v>1.9641600000000032</v>
      </c>
    </row>
    <row r="111" spans="1:7" s="135" customFormat="1" ht="15.75" customHeight="1">
      <c r="A111" s="110"/>
      <c r="B111" s="111" t="s">
        <v>334</v>
      </c>
      <c r="C111" s="112">
        <v>5</v>
      </c>
      <c r="D111" s="133">
        <v>10.23</v>
      </c>
      <c r="E111" s="133">
        <v>0</v>
      </c>
      <c r="F111" s="133">
        <f>1.15*(D111*1.08+E111)-1.21*(D111+E111)</f>
        <v>0.32736000000000054</v>
      </c>
      <c r="G111" s="174">
        <f>+F111*6</f>
        <v>1.9641600000000032</v>
      </c>
    </row>
    <row r="112" spans="1:7" s="135" customFormat="1" ht="13.5" customHeight="1">
      <c r="A112" s="110"/>
      <c r="B112" s="111" t="s">
        <v>335</v>
      </c>
      <c r="C112" s="112">
        <v>0</v>
      </c>
      <c r="D112" s="133">
        <v>0</v>
      </c>
      <c r="E112" s="133">
        <v>0</v>
      </c>
      <c r="F112" s="133">
        <f>1.15*(D112*1.08+E112)-1.21*(D112+E112)</f>
        <v>0</v>
      </c>
      <c r="G112" s="174">
        <f>+F112*6</f>
        <v>0</v>
      </c>
    </row>
    <row r="113" spans="1:7" s="132" customFormat="1" ht="12.75">
      <c r="A113" s="100"/>
      <c r="B113" s="129" t="s">
        <v>133</v>
      </c>
      <c r="C113" s="103">
        <f>+C114+C115+C116+C117</f>
        <v>20</v>
      </c>
      <c r="D113" s="161">
        <f>+D114+D115+D116+D117</f>
        <v>43.199</v>
      </c>
      <c r="E113" s="161">
        <f>+E114+E115+E116+E117</f>
        <v>0.4</v>
      </c>
      <c r="F113" s="161">
        <f>+F114+F115+F116+F117</f>
        <v>1.3951680000000013</v>
      </c>
      <c r="G113" s="161">
        <f>+G114+G115+G116+G117</f>
        <v>8.371008000000009</v>
      </c>
    </row>
    <row r="114" spans="1:7" s="132" customFormat="1" ht="12.75">
      <c r="A114" s="100"/>
      <c r="B114" s="175" t="s">
        <v>286</v>
      </c>
      <c r="C114" s="112">
        <v>8</v>
      </c>
      <c r="D114" s="133">
        <v>18.259</v>
      </c>
      <c r="E114" s="133">
        <v>0</v>
      </c>
      <c r="F114" s="133">
        <f>(D114+E114)*(1.15*1.08-1.21)</f>
        <v>0.5842880000000006</v>
      </c>
      <c r="G114" s="174">
        <f>+F114*6</f>
        <v>3.5057280000000035</v>
      </c>
    </row>
    <row r="115" spans="1:7" s="132" customFormat="1" ht="12.75">
      <c r="A115" s="100"/>
      <c r="B115" s="175" t="s">
        <v>287</v>
      </c>
      <c r="C115" s="112">
        <v>4</v>
      </c>
      <c r="D115" s="133">
        <v>8.53</v>
      </c>
      <c r="E115" s="133">
        <v>0.4</v>
      </c>
      <c r="F115" s="133">
        <f>(D115+E115)*(1.15*1.08-1.21)</f>
        <v>0.28576000000000024</v>
      </c>
      <c r="G115" s="174">
        <f>+F115*6</f>
        <v>1.7145600000000014</v>
      </c>
    </row>
    <row r="116" spans="1:7" s="132" customFormat="1" ht="12.75">
      <c r="A116" s="100"/>
      <c r="B116" s="175" t="s">
        <v>288</v>
      </c>
      <c r="C116" s="112">
        <v>2</v>
      </c>
      <c r="D116" s="133">
        <v>3.76</v>
      </c>
      <c r="E116" s="133">
        <v>0</v>
      </c>
      <c r="F116" s="133">
        <f>(D116+E116)*(1.15*1.08-1.21)</f>
        <v>0.1203200000000001</v>
      </c>
      <c r="G116" s="174">
        <f>+F116*6</f>
        <v>0.7219200000000006</v>
      </c>
    </row>
    <row r="117" spans="1:7" s="132" customFormat="1" ht="12.75">
      <c r="A117" s="100"/>
      <c r="B117" s="175" t="s">
        <v>289</v>
      </c>
      <c r="C117" s="112">
        <v>6</v>
      </c>
      <c r="D117" s="133">
        <v>12.65</v>
      </c>
      <c r="E117" s="133">
        <v>0</v>
      </c>
      <c r="F117" s="133">
        <f>(D117+E117)*(1.15*1.08-1.21)</f>
        <v>0.4048000000000004</v>
      </c>
      <c r="G117" s="174">
        <f>+F117*6</f>
        <v>2.4288000000000025</v>
      </c>
    </row>
    <row r="118" spans="1:7" s="132" customFormat="1" ht="12.75">
      <c r="A118" s="100"/>
      <c r="B118" s="129" t="s">
        <v>134</v>
      </c>
      <c r="C118" s="103">
        <f>C119+C120</f>
        <v>5</v>
      </c>
      <c r="D118" s="103">
        <f>D119+D120</f>
        <v>10.97</v>
      </c>
      <c r="E118" s="103">
        <f>E119+E120</f>
        <v>0.3</v>
      </c>
      <c r="F118" s="130">
        <f>F119+F120</f>
        <v>0.3330399999999991</v>
      </c>
      <c r="G118" s="130">
        <f>G119+G120</f>
        <v>1.9982399999999947</v>
      </c>
    </row>
    <row r="119" spans="1:7" s="135" customFormat="1" ht="12.75">
      <c r="A119" s="110"/>
      <c r="B119" s="175" t="s">
        <v>286</v>
      </c>
      <c r="C119" s="112">
        <v>4</v>
      </c>
      <c r="D119" s="133">
        <v>8.63</v>
      </c>
      <c r="E119" s="133">
        <v>0</v>
      </c>
      <c r="F119" s="130">
        <f>1.15*(D119*1.08+E119)-1.21*(D119+E119)</f>
        <v>0.2761599999999991</v>
      </c>
      <c r="G119" s="166">
        <f>+F119*6</f>
        <v>1.6569599999999944</v>
      </c>
    </row>
    <row r="120" spans="1:7" s="135" customFormat="1" ht="12.75">
      <c r="A120" s="110"/>
      <c r="B120" s="175" t="s">
        <v>290</v>
      </c>
      <c r="C120" s="112">
        <v>1</v>
      </c>
      <c r="D120" s="133">
        <v>2.34</v>
      </c>
      <c r="E120" s="133">
        <v>0.3</v>
      </c>
      <c r="F120" s="130">
        <f>1.15*(D120*1.08+E120)-1.21*(D120+E120)</f>
        <v>0.05688000000000004</v>
      </c>
      <c r="G120" s="166">
        <f>+F120*6</f>
        <v>0.34128000000000025</v>
      </c>
    </row>
    <row r="121" spans="1:7" s="132" customFormat="1" ht="12.75">
      <c r="A121" s="100"/>
      <c r="B121" s="129" t="s">
        <v>229</v>
      </c>
      <c r="C121" s="103">
        <f>+C122+C124</f>
        <v>0</v>
      </c>
      <c r="D121" s="130">
        <f>+D122+D124</f>
        <v>0</v>
      </c>
      <c r="E121" s="130">
        <f>+E122+E124</f>
        <v>0</v>
      </c>
      <c r="F121" s="130">
        <f>+F122+F124</f>
        <v>0</v>
      </c>
      <c r="G121" s="131">
        <f>+G122+G124</f>
        <v>0</v>
      </c>
    </row>
    <row r="122" spans="1:7" s="135" customFormat="1" ht="12.75">
      <c r="A122" s="110"/>
      <c r="B122" s="175" t="s">
        <v>228</v>
      </c>
      <c r="C122" s="112">
        <v>0</v>
      </c>
      <c r="D122" s="133">
        <v>0</v>
      </c>
      <c r="E122" s="133">
        <v>0</v>
      </c>
      <c r="F122" s="133">
        <f aca="true" t="shared" si="8" ref="F122:F134">1.15*(D122*1.08+E122)-1.21*(D122+E122)</f>
        <v>0</v>
      </c>
      <c r="G122" s="134">
        <f>+F122*8</f>
        <v>0</v>
      </c>
    </row>
    <row r="123" spans="1:7" s="135" customFormat="1" ht="12.75">
      <c r="A123" s="110"/>
      <c r="B123" s="175" t="s">
        <v>362</v>
      </c>
      <c r="C123" s="112"/>
      <c r="D123" s="133"/>
      <c r="E123" s="133"/>
      <c r="F123" s="133"/>
      <c r="G123" s="134"/>
    </row>
    <row r="124" spans="1:7" s="135" customFormat="1" ht="12.75">
      <c r="A124" s="110"/>
      <c r="B124" s="175" t="s">
        <v>227</v>
      </c>
      <c r="C124" s="112">
        <v>0</v>
      </c>
      <c r="D124" s="133">
        <v>0</v>
      </c>
      <c r="E124" s="133">
        <v>0</v>
      </c>
      <c r="F124" s="133">
        <f t="shared" si="8"/>
        <v>0</v>
      </c>
      <c r="G124" s="134">
        <f>+F124*8</f>
        <v>0</v>
      </c>
    </row>
    <row r="125" spans="1:7" s="132" customFormat="1" ht="12.75">
      <c r="A125" s="100"/>
      <c r="B125" s="129" t="s">
        <v>135</v>
      </c>
      <c r="C125" s="103">
        <f>+SUM(C126:C134)</f>
        <v>15</v>
      </c>
      <c r="D125" s="130">
        <f>+SUM(D126:D134)</f>
        <v>44.81</v>
      </c>
      <c r="E125" s="130">
        <f>+SUM(E126:E134)</f>
        <v>3.35</v>
      </c>
      <c r="F125" s="130">
        <f t="shared" si="8"/>
        <v>1.23292</v>
      </c>
      <c r="G125" s="131">
        <f>+F125*8</f>
        <v>9.86336</v>
      </c>
    </row>
    <row r="126" spans="1:7" s="135" customFormat="1" ht="12.75">
      <c r="A126" s="110"/>
      <c r="B126" s="175" t="s">
        <v>276</v>
      </c>
      <c r="C126" s="112">
        <v>0</v>
      </c>
      <c r="D126" s="133">
        <v>0</v>
      </c>
      <c r="E126" s="133">
        <v>0</v>
      </c>
      <c r="F126" s="133">
        <f t="shared" si="8"/>
        <v>0</v>
      </c>
      <c r="G126" s="134">
        <f>+F126*6</f>
        <v>0</v>
      </c>
    </row>
    <row r="127" spans="1:7" s="135" customFormat="1" ht="12.75">
      <c r="A127" s="110"/>
      <c r="B127" s="175" t="s">
        <v>277</v>
      </c>
      <c r="C127" s="112">
        <v>0</v>
      </c>
      <c r="D127" s="133">
        <v>0</v>
      </c>
      <c r="E127" s="133">
        <v>0</v>
      </c>
      <c r="F127" s="133">
        <f t="shared" si="8"/>
        <v>0</v>
      </c>
      <c r="G127" s="134">
        <f>+F127*6</f>
        <v>0</v>
      </c>
    </row>
    <row r="128" spans="1:7" s="135" customFormat="1" ht="12.75">
      <c r="A128" s="110"/>
      <c r="B128" s="175" t="s">
        <v>278</v>
      </c>
      <c r="C128" s="112">
        <v>3</v>
      </c>
      <c r="D128" s="133">
        <v>6.25</v>
      </c>
      <c r="E128" s="133">
        <v>1.56</v>
      </c>
      <c r="F128" s="191">
        <f t="shared" si="8"/>
        <v>0.10639999999999894</v>
      </c>
      <c r="G128" s="166">
        <f>+F128*6</f>
        <v>0.6383999999999936</v>
      </c>
    </row>
    <row r="129" spans="1:7" s="135" customFormat="1" ht="12.75">
      <c r="A129" s="110"/>
      <c r="B129" s="175" t="s">
        <v>279</v>
      </c>
      <c r="C129" s="112">
        <v>3</v>
      </c>
      <c r="D129" s="133">
        <v>8.49</v>
      </c>
      <c r="E129" s="133">
        <v>1.39</v>
      </c>
      <c r="F129" s="133">
        <f t="shared" si="8"/>
        <v>0.1882799999999989</v>
      </c>
      <c r="G129" s="166">
        <f aca="true" t="shared" si="9" ref="G129:G134">+F129*6</f>
        <v>1.1296799999999934</v>
      </c>
    </row>
    <row r="130" spans="1:7" s="135" customFormat="1" ht="12.75">
      <c r="A130" s="110"/>
      <c r="B130" s="175" t="s">
        <v>280</v>
      </c>
      <c r="C130" s="112">
        <v>2</v>
      </c>
      <c r="D130" s="133">
        <v>4.44</v>
      </c>
      <c r="E130" s="133">
        <v>0</v>
      </c>
      <c r="F130" s="133">
        <f t="shared" si="8"/>
        <v>0.1420799999999991</v>
      </c>
      <c r="G130" s="166">
        <f t="shared" si="9"/>
        <v>0.8524799999999946</v>
      </c>
    </row>
    <row r="131" spans="1:7" s="135" customFormat="1" ht="12.75">
      <c r="A131" s="110"/>
      <c r="B131" s="175" t="s">
        <v>281</v>
      </c>
      <c r="C131" s="112">
        <v>0</v>
      </c>
      <c r="D131" s="133">
        <v>0</v>
      </c>
      <c r="E131" s="133">
        <v>0</v>
      </c>
      <c r="F131" s="133">
        <f t="shared" si="8"/>
        <v>0</v>
      </c>
      <c r="G131" s="166">
        <f t="shared" si="9"/>
        <v>0</v>
      </c>
    </row>
    <row r="132" spans="1:7" s="135" customFormat="1" ht="12.75">
      <c r="A132" s="110"/>
      <c r="B132" s="175" t="s">
        <v>282</v>
      </c>
      <c r="C132" s="112">
        <v>0</v>
      </c>
      <c r="D132" s="133">
        <v>8.83</v>
      </c>
      <c r="E132" s="133">
        <v>0</v>
      </c>
      <c r="F132" s="133">
        <v>0.06</v>
      </c>
      <c r="G132" s="166">
        <f t="shared" si="9"/>
        <v>0.36</v>
      </c>
    </row>
    <row r="133" spans="1:7" s="135" customFormat="1" ht="12.75">
      <c r="A133" s="110"/>
      <c r="B133" s="175" t="s">
        <v>283</v>
      </c>
      <c r="C133" s="112">
        <v>0</v>
      </c>
      <c r="D133" s="133">
        <v>0</v>
      </c>
      <c r="E133" s="133">
        <v>0</v>
      </c>
      <c r="F133" s="133">
        <f t="shared" si="8"/>
        <v>0</v>
      </c>
      <c r="G133" s="166">
        <f t="shared" si="9"/>
        <v>0</v>
      </c>
    </row>
    <row r="134" spans="1:7" s="135" customFormat="1" ht="12.75">
      <c r="A134" s="110"/>
      <c r="B134" s="175" t="s">
        <v>284</v>
      </c>
      <c r="C134" s="112">
        <v>7</v>
      </c>
      <c r="D134" s="133">
        <v>16.8</v>
      </c>
      <c r="E134" s="133">
        <v>0.4</v>
      </c>
      <c r="F134" s="133">
        <f t="shared" si="8"/>
        <v>0.5136000000000003</v>
      </c>
      <c r="G134" s="166">
        <f t="shared" si="9"/>
        <v>3.0816000000000017</v>
      </c>
    </row>
    <row r="135" spans="1:7" s="57" customFormat="1" ht="12.75">
      <c r="A135" s="42"/>
      <c r="B135" s="242" t="s">
        <v>114</v>
      </c>
      <c r="C135" s="24">
        <v>28</v>
      </c>
      <c r="D135" s="248">
        <v>64.35</v>
      </c>
      <c r="E135" s="248">
        <v>5.15</v>
      </c>
      <c r="F135" s="245">
        <f>1.15*(D135*1.08+E135)-1.21*(D135+E135)</f>
        <v>1.7502000000000066</v>
      </c>
      <c r="G135" s="250">
        <f>+F135*6</f>
        <v>10.50120000000004</v>
      </c>
    </row>
    <row r="136" spans="1:7" s="22" customFormat="1" ht="12.75">
      <c r="A136" s="21"/>
      <c r="B136" s="54" t="s">
        <v>226</v>
      </c>
      <c r="C136" s="18"/>
      <c r="D136" s="245"/>
      <c r="E136" s="245"/>
      <c r="F136" s="245"/>
      <c r="G136" s="246"/>
    </row>
    <row r="137" spans="1:7" s="22" customFormat="1" ht="12.75">
      <c r="A137" s="21"/>
      <c r="B137" s="54" t="s">
        <v>222</v>
      </c>
      <c r="C137" s="18"/>
      <c r="D137" s="245"/>
      <c r="E137" s="245"/>
      <c r="F137" s="245"/>
      <c r="G137" s="246"/>
    </row>
    <row r="138" spans="1:7" s="132" customFormat="1" ht="12.75">
      <c r="A138" s="100"/>
      <c r="B138" s="129" t="s">
        <v>136</v>
      </c>
      <c r="C138" s="103">
        <v>2</v>
      </c>
      <c r="D138" s="130">
        <v>6.73</v>
      </c>
      <c r="E138" s="130">
        <v>0</v>
      </c>
      <c r="F138" s="133">
        <f>1.15*(D138*1.08+E138)-1.21*(D138+E138)</f>
        <v>0.21536000000000044</v>
      </c>
      <c r="G138" s="177">
        <f>+F138*6</f>
        <v>1.2921600000000026</v>
      </c>
    </row>
    <row r="139" spans="1:7" s="132" customFormat="1" ht="12.75">
      <c r="A139" s="100"/>
      <c r="B139" s="129" t="s">
        <v>137</v>
      </c>
      <c r="C139" s="103">
        <v>0</v>
      </c>
      <c r="D139" s="130">
        <v>0</v>
      </c>
      <c r="E139" s="130">
        <v>0</v>
      </c>
      <c r="F139" s="130">
        <f>1.15*(D139*1.08+E139)-1.21*(D139+E139)</f>
        <v>0</v>
      </c>
      <c r="G139" s="131">
        <f>+F139*6</f>
        <v>0</v>
      </c>
    </row>
    <row r="140" spans="1:7" s="62" customFormat="1" ht="12.75">
      <c r="A140" s="76"/>
      <c r="B140" s="77" t="s">
        <v>41</v>
      </c>
      <c r="C140" s="78">
        <f>+SUM(C141:C159)</f>
        <v>41</v>
      </c>
      <c r="D140" s="117">
        <f>+SUM(D141:D159)</f>
        <v>101.408</v>
      </c>
      <c r="E140" s="117">
        <f>+SUM(E141:E159)</f>
        <v>3.031</v>
      </c>
      <c r="F140" s="117">
        <f>+SUM(F141:F159)</f>
        <v>5.323399999999996</v>
      </c>
      <c r="G140" s="125">
        <f>+SUM(G141:G159)</f>
        <v>32.07303999999998</v>
      </c>
    </row>
    <row r="141" spans="1:7" s="135" customFormat="1" ht="12.75">
      <c r="A141" s="110"/>
      <c r="B141" s="112" t="s">
        <v>138</v>
      </c>
      <c r="C141" s="112">
        <v>6</v>
      </c>
      <c r="D141" s="133">
        <v>12.42</v>
      </c>
      <c r="E141" s="133">
        <v>0.1</v>
      </c>
      <c r="F141" s="133">
        <v>0.4</v>
      </c>
      <c r="G141" s="174">
        <f>+F141*6</f>
        <v>2.4000000000000004</v>
      </c>
    </row>
    <row r="142" spans="1:7" s="135" customFormat="1" ht="12.75">
      <c r="A142" s="110"/>
      <c r="B142" s="112" t="s">
        <v>139</v>
      </c>
      <c r="C142" s="112">
        <v>15</v>
      </c>
      <c r="D142" s="133">
        <v>35.1</v>
      </c>
      <c r="E142" s="133">
        <v>0</v>
      </c>
      <c r="F142" s="133">
        <f>1.15*(D142*1.08+E142)-1.21*(D142+E142)</f>
        <v>1.123199999999997</v>
      </c>
      <c r="G142" s="174">
        <f>+F142*6</f>
        <v>6.7391999999999825</v>
      </c>
    </row>
    <row r="143" spans="1:7" s="135" customFormat="1" ht="12.75">
      <c r="A143" s="110"/>
      <c r="B143" s="112" t="s">
        <v>140</v>
      </c>
      <c r="C143" s="112">
        <v>3</v>
      </c>
      <c r="D143" s="133">
        <v>6.54</v>
      </c>
      <c r="E143" s="133">
        <v>0</v>
      </c>
      <c r="F143" s="133">
        <f aca="true" t="shared" si="10" ref="F143:F148">1.15*(D143*1.08+E143)-1.21*(D143+E143)</f>
        <v>0.2092799999999988</v>
      </c>
      <c r="G143" s="174">
        <f>+F143*6</f>
        <v>1.2556799999999928</v>
      </c>
    </row>
    <row r="144" spans="1:7" s="135" customFormat="1" ht="12.75">
      <c r="A144" s="110"/>
      <c r="B144" s="112" t="s">
        <v>141</v>
      </c>
      <c r="C144" s="112">
        <v>5</v>
      </c>
      <c r="D144" s="133">
        <v>10.57</v>
      </c>
      <c r="E144" s="133">
        <v>0</v>
      </c>
      <c r="F144" s="133">
        <v>0.951</v>
      </c>
      <c r="G144" s="174">
        <f>+F144*6</f>
        <v>5.7059999999999995</v>
      </c>
    </row>
    <row r="145" spans="1:7" s="62" customFormat="1" ht="12.75">
      <c r="A145" s="76"/>
      <c r="B145" s="78" t="s">
        <v>142</v>
      </c>
      <c r="C145" s="78">
        <v>0</v>
      </c>
      <c r="D145" s="117">
        <v>0</v>
      </c>
      <c r="E145" s="117">
        <v>0</v>
      </c>
      <c r="F145" s="117">
        <f t="shared" si="10"/>
        <v>0</v>
      </c>
      <c r="G145" s="125">
        <f>+F145*8</f>
        <v>0</v>
      </c>
    </row>
    <row r="146" spans="1:7" s="135" customFormat="1" ht="12.75">
      <c r="A146" s="110"/>
      <c r="B146" s="112" t="s">
        <v>344</v>
      </c>
      <c r="C146" s="112">
        <v>5</v>
      </c>
      <c r="D146" s="133">
        <v>11.11</v>
      </c>
      <c r="E146" s="133">
        <v>0</v>
      </c>
      <c r="F146" s="133">
        <v>0.3</v>
      </c>
      <c r="G146" s="134">
        <f>+F146*6</f>
        <v>1.7999999999999998</v>
      </c>
    </row>
    <row r="147" spans="1:7" s="135" customFormat="1" ht="12.75">
      <c r="A147" s="110"/>
      <c r="B147" s="112" t="s">
        <v>143</v>
      </c>
      <c r="C147" s="112">
        <v>0</v>
      </c>
      <c r="D147" s="133">
        <v>19.468</v>
      </c>
      <c r="E147" s="133">
        <v>2.831</v>
      </c>
      <c r="F147" s="133">
        <v>1.848</v>
      </c>
      <c r="G147" s="174">
        <f>+F147*6</f>
        <v>11.088000000000001</v>
      </c>
    </row>
    <row r="148" spans="1:7" s="135" customFormat="1" ht="12.75">
      <c r="A148" s="110"/>
      <c r="B148" s="112" t="s">
        <v>144</v>
      </c>
      <c r="C148" s="112">
        <v>0</v>
      </c>
      <c r="D148" s="133">
        <v>0</v>
      </c>
      <c r="E148" s="133">
        <v>0</v>
      </c>
      <c r="F148" s="133">
        <f t="shared" si="10"/>
        <v>0</v>
      </c>
      <c r="G148" s="134">
        <f>+F148*6</f>
        <v>0</v>
      </c>
    </row>
    <row r="149" spans="1:7" s="135" customFormat="1" ht="12.75">
      <c r="A149" s="110"/>
      <c r="B149" s="112" t="s">
        <v>145</v>
      </c>
      <c r="C149" s="112">
        <v>0</v>
      </c>
      <c r="D149" s="133">
        <v>0</v>
      </c>
      <c r="E149" s="133">
        <v>0</v>
      </c>
      <c r="F149" s="133">
        <f aca="true" t="shared" si="11" ref="F149:F160">1.15*(D149*1.08+E149)-1.21*(D149+E149)</f>
        <v>0</v>
      </c>
      <c r="G149" s="134">
        <f>+F149*6</f>
        <v>0</v>
      </c>
    </row>
    <row r="150" spans="1:7" s="135" customFormat="1" ht="12.75">
      <c r="A150" s="110"/>
      <c r="B150" s="112" t="s">
        <v>146</v>
      </c>
      <c r="C150" s="112">
        <v>0</v>
      </c>
      <c r="D150" s="133">
        <v>0</v>
      </c>
      <c r="E150" s="133">
        <v>0</v>
      </c>
      <c r="F150" s="133">
        <f t="shared" si="11"/>
        <v>0</v>
      </c>
      <c r="G150" s="134">
        <f>+F150*8</f>
        <v>0</v>
      </c>
    </row>
    <row r="151" spans="1:7" s="135" customFormat="1" ht="12.75">
      <c r="A151" s="110"/>
      <c r="B151" s="112" t="s">
        <v>147</v>
      </c>
      <c r="C151" s="112">
        <v>0</v>
      </c>
      <c r="D151" s="133">
        <v>0</v>
      </c>
      <c r="E151" s="133">
        <v>0</v>
      </c>
      <c r="F151" s="133">
        <f t="shared" si="11"/>
        <v>0</v>
      </c>
      <c r="G151" s="134">
        <f>+F151*8</f>
        <v>0</v>
      </c>
    </row>
    <row r="152" spans="1:7" s="135" customFormat="1" ht="12.75">
      <c r="A152" s="110"/>
      <c r="B152" s="112" t="s">
        <v>148</v>
      </c>
      <c r="C152" s="112">
        <v>0</v>
      </c>
      <c r="D152" s="133">
        <v>0</v>
      </c>
      <c r="E152" s="133">
        <v>0</v>
      </c>
      <c r="F152" s="133">
        <f t="shared" si="11"/>
        <v>0</v>
      </c>
      <c r="G152" s="134">
        <f>+F152*8</f>
        <v>0</v>
      </c>
    </row>
    <row r="153" spans="1:7" s="135" customFormat="1" ht="12.75">
      <c r="A153" s="110"/>
      <c r="B153" s="112" t="s">
        <v>149</v>
      </c>
      <c r="C153" s="112">
        <v>6</v>
      </c>
      <c r="D153" s="133">
        <v>3.94</v>
      </c>
      <c r="E153" s="133">
        <v>0</v>
      </c>
      <c r="F153" s="133">
        <v>0.4256</v>
      </c>
      <c r="G153" s="166">
        <f>+F153*6</f>
        <v>2.5536</v>
      </c>
    </row>
    <row r="154" spans="1:7" s="62" customFormat="1" ht="12.75">
      <c r="A154" s="76"/>
      <c r="B154" s="78" t="s">
        <v>150</v>
      </c>
      <c r="C154" s="78">
        <v>0</v>
      </c>
      <c r="D154" s="117">
        <v>0</v>
      </c>
      <c r="E154" s="117">
        <v>0</v>
      </c>
      <c r="F154" s="117">
        <f t="shared" si="11"/>
        <v>0</v>
      </c>
      <c r="G154" s="125">
        <f aca="true" t="shared" si="12" ref="G154:G159">+F154*8</f>
        <v>0</v>
      </c>
    </row>
    <row r="155" spans="1:7" s="62" customFormat="1" ht="12.75">
      <c r="A155" s="76"/>
      <c r="B155" s="78" t="s">
        <v>151</v>
      </c>
      <c r="C155" s="78">
        <v>0</v>
      </c>
      <c r="D155" s="117">
        <v>0</v>
      </c>
      <c r="E155" s="117">
        <v>0</v>
      </c>
      <c r="F155" s="117">
        <f t="shared" si="11"/>
        <v>0</v>
      </c>
      <c r="G155" s="125">
        <f t="shared" si="12"/>
        <v>0</v>
      </c>
    </row>
    <row r="156" spans="1:7" s="62" customFormat="1" ht="12.75">
      <c r="A156" s="76"/>
      <c r="B156" s="78" t="s">
        <v>152</v>
      </c>
      <c r="C156" s="78">
        <v>0</v>
      </c>
      <c r="D156" s="117">
        <v>0</v>
      </c>
      <c r="E156" s="117">
        <v>0</v>
      </c>
      <c r="F156" s="117">
        <f t="shared" si="11"/>
        <v>0</v>
      </c>
      <c r="G156" s="125">
        <f t="shared" si="12"/>
        <v>0</v>
      </c>
    </row>
    <row r="157" spans="1:7" s="62" customFormat="1" ht="12.75">
      <c r="A157" s="76"/>
      <c r="B157" s="78" t="s">
        <v>153</v>
      </c>
      <c r="C157" s="78">
        <v>1</v>
      </c>
      <c r="D157" s="117">
        <v>2.26</v>
      </c>
      <c r="E157" s="117">
        <v>0.1</v>
      </c>
      <c r="F157" s="117">
        <f t="shared" si="11"/>
        <v>0.06631999999999971</v>
      </c>
      <c r="G157" s="125">
        <f t="shared" si="12"/>
        <v>0.5305599999999977</v>
      </c>
    </row>
    <row r="158" spans="1:7" s="62" customFormat="1" ht="12.75">
      <c r="A158" s="76"/>
      <c r="B158" s="78" t="s">
        <v>154</v>
      </c>
      <c r="C158" s="78"/>
      <c r="D158" s="117"/>
      <c r="E158" s="117"/>
      <c r="F158" s="117">
        <f t="shared" si="11"/>
        <v>0</v>
      </c>
      <c r="G158" s="125">
        <f t="shared" si="12"/>
        <v>0</v>
      </c>
    </row>
    <row r="159" spans="1:7" s="62" customFormat="1" ht="12.75">
      <c r="A159" s="76"/>
      <c r="B159" s="78" t="s">
        <v>155</v>
      </c>
      <c r="C159" s="78">
        <v>0</v>
      </c>
      <c r="D159" s="117">
        <v>0</v>
      </c>
      <c r="E159" s="117">
        <v>0</v>
      </c>
      <c r="F159" s="117">
        <f t="shared" si="11"/>
        <v>0</v>
      </c>
      <c r="G159" s="126">
        <f t="shared" si="12"/>
        <v>0</v>
      </c>
    </row>
    <row r="160" spans="1:7" ht="12.75" hidden="1">
      <c r="A160" s="3"/>
      <c r="B160" s="12" t="s">
        <v>42</v>
      </c>
      <c r="C160" s="5"/>
      <c r="D160" s="5"/>
      <c r="E160" s="5"/>
      <c r="F160" s="18">
        <f t="shared" si="11"/>
        <v>0</v>
      </c>
      <c r="G160" s="127"/>
    </row>
    <row r="161" spans="1:7" ht="12.75" hidden="1">
      <c r="A161" s="4" t="s">
        <v>43</v>
      </c>
      <c r="B161" s="11" t="s">
        <v>44</v>
      </c>
      <c r="C161" s="5"/>
      <c r="D161" s="5"/>
      <c r="E161" s="5"/>
      <c r="F161" s="5"/>
      <c r="G161" s="127"/>
    </row>
    <row r="162" spans="1:7" ht="12.75" hidden="1">
      <c r="A162" s="4"/>
      <c r="B162" s="11"/>
      <c r="C162" s="5"/>
      <c r="D162" s="5"/>
      <c r="E162" s="5"/>
      <c r="F162" s="5"/>
      <c r="G162" s="127"/>
    </row>
    <row r="164" spans="1:7" ht="12.75">
      <c r="A164" s="706"/>
      <c r="B164" s="7"/>
      <c r="E164" s="707" t="s">
        <v>64</v>
      </c>
      <c r="F164" s="707"/>
      <c r="G164" s="707"/>
    </row>
    <row r="165" spans="1:7" ht="12.75">
      <c r="A165" s="706"/>
      <c r="B165" s="8"/>
      <c r="E165" s="708" t="s">
        <v>309</v>
      </c>
      <c r="F165" s="708"/>
      <c r="G165" s="708"/>
    </row>
    <row r="166" spans="1:7" ht="12.75">
      <c r="A166" s="706"/>
      <c r="B166" s="9"/>
      <c r="E166" s="709"/>
      <c r="F166" s="709"/>
      <c r="G166" s="709"/>
    </row>
    <row r="171" ht="12.75">
      <c r="F171" s="1" t="s">
        <v>310</v>
      </c>
    </row>
  </sheetData>
  <sheetProtection/>
  <mergeCells count="6">
    <mergeCell ref="A3:G3"/>
    <mergeCell ref="A4:G4"/>
    <mergeCell ref="A164:A166"/>
    <mergeCell ref="E164:G164"/>
    <mergeCell ref="E165:G165"/>
    <mergeCell ref="E166:G166"/>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V161"/>
  <sheetViews>
    <sheetView zoomScaleSheetLayoutView="85" zoomScalePageLayoutView="0" workbookViewId="0" topLeftCell="A1">
      <pane xSplit="2" ySplit="9" topLeftCell="I10" activePane="bottomRight" state="frozen"/>
      <selection pane="topLeft" activeCell="B169" sqref="B169:N171"/>
      <selection pane="topRight" activeCell="B169" sqref="B169:N171"/>
      <selection pane="bottomLeft" activeCell="B169" sqref="B169:N171"/>
      <selection pane="bottomRight" activeCell="B169" sqref="B169:N171"/>
    </sheetView>
  </sheetViews>
  <sheetFormatPr defaultColWidth="9.140625" defaultRowHeight="12.75"/>
  <cols>
    <col min="1" max="1" width="5.140625" style="0" customWidth="1"/>
    <col min="2" max="2" width="37.8515625" style="0" customWidth="1"/>
    <col min="3" max="3" width="9.57421875" style="0" customWidth="1"/>
    <col min="4" max="4" width="8.57421875" style="20" customWidth="1"/>
    <col min="5" max="6" width="11.28125" style="0" bestFit="1" customWidth="1"/>
    <col min="7" max="7" width="10.7109375" style="0" customWidth="1"/>
    <col min="8" max="8" width="12.140625" style="0" bestFit="1" customWidth="1"/>
    <col min="9" max="9" width="11.28125" style="0" bestFit="1" customWidth="1"/>
    <col min="10" max="11" width="10.421875" style="0" bestFit="1" customWidth="1"/>
    <col min="12" max="12" width="11.28125" style="0" bestFit="1" customWidth="1"/>
    <col min="13" max="13" width="10.421875" style="0" bestFit="1" customWidth="1"/>
    <col min="14" max="15" width="12.140625" style="0" bestFit="1" customWidth="1"/>
    <col min="16" max="16" width="11.28125" style="0" bestFit="1" customWidth="1"/>
    <col min="17" max="18" width="10.421875" style="0" bestFit="1" customWidth="1"/>
    <col min="19" max="19" width="11.28125" style="0" bestFit="1" customWidth="1"/>
    <col min="20" max="20" width="10.421875" style="0" bestFit="1" customWidth="1"/>
    <col min="21" max="21" width="9.421875" style="0" bestFit="1" customWidth="1"/>
    <col min="22" max="22" width="11.8515625" style="232" bestFit="1" customWidth="1"/>
  </cols>
  <sheetData>
    <row r="1" spans="1:22" ht="12.75">
      <c r="A1" s="713" t="s">
        <v>112</v>
      </c>
      <c r="B1" s="713"/>
      <c r="C1" s="713"/>
      <c r="D1" s="713"/>
      <c r="E1" s="713"/>
      <c r="F1" s="713"/>
      <c r="G1" s="713"/>
      <c r="H1" s="1"/>
      <c r="I1" s="1"/>
      <c r="J1" s="1"/>
      <c r="K1" s="1"/>
      <c r="L1" s="1"/>
      <c r="M1" s="1"/>
      <c r="N1" s="1"/>
      <c r="O1" s="1"/>
      <c r="P1" s="1"/>
      <c r="Q1" s="1"/>
      <c r="R1" s="1"/>
      <c r="S1" s="1"/>
      <c r="T1" s="1"/>
      <c r="U1" s="708" t="s">
        <v>65</v>
      </c>
      <c r="V1" s="708"/>
    </row>
    <row r="2" spans="1:22" ht="12.75">
      <c r="A2" s="1"/>
      <c r="B2" s="1"/>
      <c r="C2" s="1"/>
      <c r="D2" s="19"/>
      <c r="E2" s="1"/>
      <c r="F2" s="1"/>
      <c r="G2" s="1"/>
      <c r="H2" s="1"/>
      <c r="I2" s="1"/>
      <c r="J2" s="1"/>
      <c r="K2" s="1"/>
      <c r="L2" s="1"/>
      <c r="M2" s="1"/>
      <c r="N2" s="1"/>
      <c r="O2" s="1"/>
      <c r="P2" s="1"/>
      <c r="Q2" s="1"/>
      <c r="R2" s="1"/>
      <c r="S2" s="1"/>
      <c r="T2" s="1"/>
      <c r="U2" s="1"/>
      <c r="V2" s="128"/>
    </row>
    <row r="3" spans="1:22" ht="12.75">
      <c r="A3" s="711" t="s">
        <v>330</v>
      </c>
      <c r="B3" s="711"/>
      <c r="C3" s="711"/>
      <c r="D3" s="711"/>
      <c r="E3" s="711"/>
      <c r="F3" s="711"/>
      <c r="G3" s="711"/>
      <c r="H3" s="711"/>
      <c r="I3" s="711"/>
      <c r="J3" s="711"/>
      <c r="K3" s="711"/>
      <c r="L3" s="711"/>
      <c r="M3" s="711"/>
      <c r="N3" s="711"/>
      <c r="O3" s="711"/>
      <c r="P3" s="711"/>
      <c r="Q3" s="711"/>
      <c r="R3" s="711"/>
      <c r="S3" s="711"/>
      <c r="T3" s="711"/>
      <c r="U3" s="711"/>
      <c r="V3" s="711"/>
    </row>
    <row r="4" spans="1:22" ht="12.75">
      <c r="A4" s="712"/>
      <c r="B4" s="712"/>
      <c r="C4" s="712"/>
      <c r="D4" s="712"/>
      <c r="E4" s="712"/>
      <c r="F4" s="712"/>
      <c r="G4" s="712"/>
      <c r="H4" s="712"/>
      <c r="I4" s="712"/>
      <c r="J4" s="712"/>
      <c r="K4" s="712"/>
      <c r="L4" s="712"/>
      <c r="M4" s="712"/>
      <c r="N4" s="712"/>
      <c r="O4" s="712"/>
      <c r="P4" s="712"/>
      <c r="Q4" s="712"/>
      <c r="R4" s="712"/>
      <c r="S4" s="712"/>
      <c r="T4" s="712"/>
      <c r="U4" s="712"/>
      <c r="V4" s="712"/>
    </row>
    <row r="5" spans="1:22" ht="12.75">
      <c r="A5" s="14"/>
      <c r="B5" s="1"/>
      <c r="C5" s="1"/>
      <c r="D5" s="19"/>
      <c r="E5" s="1"/>
      <c r="F5" s="1"/>
      <c r="G5" s="1"/>
      <c r="H5" s="1"/>
      <c r="I5" s="1"/>
      <c r="J5" s="1"/>
      <c r="K5" s="1"/>
      <c r="L5" s="1"/>
      <c r="M5" s="1"/>
      <c r="N5" s="1"/>
      <c r="O5" s="1"/>
      <c r="P5" s="1"/>
      <c r="Q5" s="1"/>
      <c r="R5" s="1"/>
      <c r="S5" s="1"/>
      <c r="T5" s="1"/>
      <c r="U5" s="1"/>
      <c r="V5" s="226" t="s">
        <v>55</v>
      </c>
    </row>
    <row r="6" spans="1:22" s="16" customFormat="1" ht="21" customHeight="1">
      <c r="A6" s="710" t="s">
        <v>58</v>
      </c>
      <c r="B6" s="710" t="s">
        <v>62</v>
      </c>
      <c r="C6" s="718" t="s">
        <v>68</v>
      </c>
      <c r="D6" s="718"/>
      <c r="E6" s="710" t="s">
        <v>337</v>
      </c>
      <c r="F6" s="718" t="s">
        <v>338</v>
      </c>
      <c r="G6" s="710" t="s">
        <v>339</v>
      </c>
      <c r="H6" s="710"/>
      <c r="I6" s="710"/>
      <c r="J6" s="710"/>
      <c r="K6" s="710"/>
      <c r="L6" s="710"/>
      <c r="M6" s="710"/>
      <c r="N6" s="710" t="s">
        <v>340</v>
      </c>
      <c r="O6" s="710"/>
      <c r="P6" s="710"/>
      <c r="Q6" s="710"/>
      <c r="R6" s="710"/>
      <c r="S6" s="710"/>
      <c r="T6" s="710"/>
      <c r="U6" s="710" t="s">
        <v>69</v>
      </c>
      <c r="V6" s="716" t="s">
        <v>341</v>
      </c>
    </row>
    <row r="7" spans="1:22" s="16" customFormat="1" ht="33.75" customHeight="1">
      <c r="A7" s="710"/>
      <c r="B7" s="710"/>
      <c r="C7" s="710" t="s">
        <v>70</v>
      </c>
      <c r="D7" s="714" t="s">
        <v>71</v>
      </c>
      <c r="E7" s="710"/>
      <c r="F7" s="718"/>
      <c r="G7" s="710" t="s">
        <v>72</v>
      </c>
      <c r="H7" s="710" t="s">
        <v>73</v>
      </c>
      <c r="I7" s="710" t="s">
        <v>74</v>
      </c>
      <c r="J7" s="715" t="s">
        <v>6</v>
      </c>
      <c r="K7" s="715"/>
      <c r="L7" s="715"/>
      <c r="M7" s="710" t="s">
        <v>75</v>
      </c>
      <c r="N7" s="710" t="s">
        <v>72</v>
      </c>
      <c r="O7" s="710" t="s">
        <v>73</v>
      </c>
      <c r="P7" s="710" t="s">
        <v>74</v>
      </c>
      <c r="Q7" s="715" t="s">
        <v>6</v>
      </c>
      <c r="R7" s="715"/>
      <c r="S7" s="715"/>
      <c r="T7" s="710" t="s">
        <v>75</v>
      </c>
      <c r="U7" s="710"/>
      <c r="V7" s="716"/>
    </row>
    <row r="8" spans="1:22" s="16" customFormat="1" ht="57" customHeight="1">
      <c r="A8" s="710"/>
      <c r="B8" s="710"/>
      <c r="C8" s="710"/>
      <c r="D8" s="714"/>
      <c r="E8" s="710"/>
      <c r="F8" s="718"/>
      <c r="G8" s="710"/>
      <c r="H8" s="710"/>
      <c r="I8" s="710"/>
      <c r="J8" s="67" t="s">
        <v>76</v>
      </c>
      <c r="K8" s="67" t="s">
        <v>77</v>
      </c>
      <c r="L8" s="67" t="s">
        <v>78</v>
      </c>
      <c r="M8" s="710"/>
      <c r="N8" s="710"/>
      <c r="O8" s="710"/>
      <c r="P8" s="710"/>
      <c r="Q8" s="67" t="s">
        <v>76</v>
      </c>
      <c r="R8" s="67" t="s">
        <v>77</v>
      </c>
      <c r="S8" s="67" t="s">
        <v>78</v>
      </c>
      <c r="T8" s="710"/>
      <c r="U8" s="710"/>
      <c r="V8" s="716"/>
    </row>
    <row r="9" spans="1:22" ht="12.75">
      <c r="A9" s="3"/>
      <c r="B9" s="3"/>
      <c r="C9" s="3" t="s">
        <v>79</v>
      </c>
      <c r="D9" s="23" t="s">
        <v>26</v>
      </c>
      <c r="E9" s="3" t="s">
        <v>30</v>
      </c>
      <c r="F9" s="3" t="s">
        <v>32</v>
      </c>
      <c r="G9" s="3" t="s">
        <v>34</v>
      </c>
      <c r="H9" s="3" t="s">
        <v>36</v>
      </c>
      <c r="I9" s="3" t="s">
        <v>38</v>
      </c>
      <c r="J9" s="3" t="s">
        <v>80</v>
      </c>
      <c r="K9" s="3" t="s">
        <v>81</v>
      </c>
      <c r="L9" s="3" t="s">
        <v>82</v>
      </c>
      <c r="M9" s="3" t="s">
        <v>83</v>
      </c>
      <c r="N9" s="3" t="s">
        <v>84</v>
      </c>
      <c r="O9" s="3" t="s">
        <v>85</v>
      </c>
      <c r="P9" s="3" t="s">
        <v>86</v>
      </c>
      <c r="Q9" s="3" t="s">
        <v>87</v>
      </c>
      <c r="R9" s="3" t="s">
        <v>88</v>
      </c>
      <c r="S9" s="3" t="s">
        <v>89</v>
      </c>
      <c r="T9" s="3" t="s">
        <v>90</v>
      </c>
      <c r="U9" s="3" t="s">
        <v>91</v>
      </c>
      <c r="V9" s="122" t="s">
        <v>336</v>
      </c>
    </row>
    <row r="10" spans="1:22" s="136" customFormat="1" ht="25.5">
      <c r="A10" s="71" t="s">
        <v>59</v>
      </c>
      <c r="B10" s="72" t="s">
        <v>92</v>
      </c>
      <c r="C10" s="78"/>
      <c r="D10" s="78"/>
      <c r="E10" s="78">
        <f aca="true" t="shared" si="0" ref="E10:V10">+E11+E25+E26+E27+E28+E43+E42+E50+E86</f>
        <v>15248</v>
      </c>
      <c r="F10" s="78">
        <f t="shared" si="0"/>
        <v>13309</v>
      </c>
      <c r="G10" s="117">
        <f t="shared" si="0"/>
        <v>36119.5863582</v>
      </c>
      <c r="H10" s="117">
        <f t="shared" si="0"/>
        <v>47816.954000000005</v>
      </c>
      <c r="I10" s="117">
        <f t="shared" si="0"/>
        <v>3655.58082</v>
      </c>
      <c r="J10" s="117">
        <f t="shared" si="0"/>
        <v>955.4879999999999</v>
      </c>
      <c r="K10" s="117">
        <f t="shared" si="0"/>
        <v>538.43382</v>
      </c>
      <c r="L10" s="117">
        <f t="shared" si="0"/>
        <v>2161.659</v>
      </c>
      <c r="M10" s="117">
        <f t="shared" si="0"/>
        <v>514.2646582</v>
      </c>
      <c r="N10" s="117">
        <f t="shared" si="0"/>
        <v>55206.099846000005</v>
      </c>
      <c r="O10" s="117">
        <f t="shared" si="0"/>
        <v>50841.277999999984</v>
      </c>
      <c r="P10" s="117">
        <f t="shared" si="0"/>
        <v>3915.9615999999996</v>
      </c>
      <c r="Q10" s="117">
        <f t="shared" si="0"/>
        <v>1019.5137</v>
      </c>
      <c r="R10" s="117">
        <f t="shared" si="0"/>
        <v>572.2569</v>
      </c>
      <c r="S10" s="117">
        <f t="shared" si="0"/>
        <v>2324.191</v>
      </c>
      <c r="T10" s="117">
        <f t="shared" si="0"/>
        <v>547.5675460000001</v>
      </c>
      <c r="U10" s="117">
        <f t="shared" si="0"/>
        <v>50.518887800000016</v>
      </c>
      <c r="V10" s="227">
        <f t="shared" si="0"/>
        <v>330.6083068000001</v>
      </c>
    </row>
    <row r="11" spans="1:22" s="155" customFormat="1" ht="12.75">
      <c r="A11" s="110" t="s">
        <v>79</v>
      </c>
      <c r="B11" s="112" t="s">
        <v>93</v>
      </c>
      <c r="C11" s="288">
        <f>+C12+C14</f>
        <v>458</v>
      </c>
      <c r="D11" s="288">
        <f aca="true" t="shared" si="1" ref="D11:U11">+D12+D14</f>
        <v>5543.17</v>
      </c>
      <c r="E11" s="288">
        <f t="shared" si="1"/>
        <v>4554</v>
      </c>
      <c r="F11" s="288">
        <f t="shared" si="1"/>
        <v>4210</v>
      </c>
      <c r="G11" s="191">
        <f t="shared" si="1"/>
        <v>4402.12136</v>
      </c>
      <c r="H11" s="191">
        <f t="shared" si="1"/>
        <v>17416.601</v>
      </c>
      <c r="I11" s="191">
        <f t="shared" si="1"/>
        <v>2561.077</v>
      </c>
      <c r="J11" s="191">
        <f t="shared" si="1"/>
        <v>319.763</v>
      </c>
      <c r="K11" s="191">
        <f t="shared" si="1"/>
        <v>147.79899999999998</v>
      </c>
      <c r="L11" s="191">
        <f t="shared" si="1"/>
        <v>2093.515</v>
      </c>
      <c r="M11" s="191">
        <f t="shared" si="1"/>
        <v>199.77678</v>
      </c>
      <c r="N11" s="191">
        <f t="shared" si="1"/>
        <v>21665.63322</v>
      </c>
      <c r="O11" s="191">
        <f t="shared" si="1"/>
        <v>18693.711</v>
      </c>
      <c r="P11" s="191">
        <f t="shared" si="1"/>
        <v>2757.411</v>
      </c>
      <c r="Q11" s="191">
        <f t="shared" si="1"/>
        <v>347.105</v>
      </c>
      <c r="R11" s="191">
        <f t="shared" si="1"/>
        <v>158.865</v>
      </c>
      <c r="S11" s="191">
        <f t="shared" si="1"/>
        <v>2251.441</v>
      </c>
      <c r="T11" s="191">
        <f t="shared" si="1"/>
        <v>214.51122</v>
      </c>
      <c r="U11" s="191">
        <f t="shared" si="1"/>
        <v>14.734439999999985</v>
      </c>
      <c r="V11" s="191">
        <f>+V12+V14</f>
        <v>88.40663999999991</v>
      </c>
    </row>
    <row r="12" spans="1:22" s="155" customFormat="1" ht="12.75">
      <c r="A12" s="110"/>
      <c r="B12" s="112" t="s">
        <v>22</v>
      </c>
      <c r="C12" s="191">
        <f>C13</f>
        <v>229</v>
      </c>
      <c r="D12" s="191">
        <f aca="true" t="shared" si="2" ref="D12:V12">D13</f>
        <v>5435.07</v>
      </c>
      <c r="E12" s="191">
        <f t="shared" si="2"/>
        <v>4172</v>
      </c>
      <c r="F12" s="191">
        <f t="shared" si="2"/>
        <v>3691</v>
      </c>
      <c r="G12" s="191">
        <f t="shared" si="2"/>
        <v>2201.06068</v>
      </c>
      <c r="H12" s="191">
        <f t="shared" si="2"/>
        <v>15490.189999999999</v>
      </c>
      <c r="I12" s="191">
        <f t="shared" si="2"/>
        <v>2308.2200000000003</v>
      </c>
      <c r="J12" s="191">
        <f t="shared" si="2"/>
        <v>258.64</v>
      </c>
      <c r="K12" s="191">
        <f t="shared" si="2"/>
        <v>133.85999999999999</v>
      </c>
      <c r="L12" s="191">
        <f t="shared" si="2"/>
        <v>1915.72</v>
      </c>
      <c r="M12" s="191">
        <f t="shared" si="2"/>
        <v>177.9841</v>
      </c>
      <c r="N12" s="191">
        <f t="shared" si="2"/>
        <v>19313.4725</v>
      </c>
      <c r="O12" s="191">
        <f t="shared" si="2"/>
        <v>16642.35</v>
      </c>
      <c r="P12" s="191">
        <f t="shared" si="2"/>
        <v>2479.9</v>
      </c>
      <c r="Q12" s="191">
        <f t="shared" si="2"/>
        <v>277.88</v>
      </c>
      <c r="R12" s="191">
        <f t="shared" si="2"/>
        <v>143.81</v>
      </c>
      <c r="S12" s="191">
        <f t="shared" si="2"/>
        <v>2058.21</v>
      </c>
      <c r="T12" s="191">
        <f t="shared" si="2"/>
        <v>191.2225</v>
      </c>
      <c r="U12" s="191">
        <f t="shared" si="2"/>
        <v>13.238399999999984</v>
      </c>
      <c r="V12" s="191">
        <f t="shared" si="2"/>
        <v>79.4303999999999</v>
      </c>
    </row>
    <row r="13" spans="1:22" s="155" customFormat="1" ht="13.5" customHeight="1">
      <c r="A13" s="110"/>
      <c r="B13" s="112" t="str">
        <f>'2c moi'!B11</f>
        <v>- Sở GDĐT</v>
      </c>
      <c r="C13" s="112">
        <f>C14</f>
        <v>229</v>
      </c>
      <c r="D13" s="112">
        <f>5438.66-3.59</f>
        <v>5435.07</v>
      </c>
      <c r="E13" s="112">
        <f>4246-74</f>
        <v>4172</v>
      </c>
      <c r="F13" s="112">
        <f>3765-74</f>
        <v>3691</v>
      </c>
      <c r="G13" s="112">
        <f>G14</f>
        <v>2201.06068</v>
      </c>
      <c r="H13" s="112">
        <f>15822.72-332.53</f>
        <v>15490.189999999999</v>
      </c>
      <c r="I13" s="133">
        <f>+SUM(J13:L13)</f>
        <v>2308.2200000000003</v>
      </c>
      <c r="J13" s="112">
        <v>258.64</v>
      </c>
      <c r="K13" s="112">
        <f>134.1-0.24</f>
        <v>133.85999999999999</v>
      </c>
      <c r="L13" s="112">
        <v>1915.72</v>
      </c>
      <c r="M13" s="133">
        <f>0.01*(H13+I13)</f>
        <v>177.9841</v>
      </c>
      <c r="N13" s="133">
        <f>+O13+P13+T13</f>
        <v>19313.4725</v>
      </c>
      <c r="O13" s="112">
        <f>16999.62-357.27</f>
        <v>16642.35</v>
      </c>
      <c r="P13" s="133">
        <f>+SUM(Q13:S13)</f>
        <v>2479.9</v>
      </c>
      <c r="Q13" s="112">
        <v>277.88</v>
      </c>
      <c r="R13" s="112">
        <f>144.07-0.26</f>
        <v>143.81</v>
      </c>
      <c r="S13" s="112">
        <f>2058.21</f>
        <v>2058.21</v>
      </c>
      <c r="T13" s="133">
        <f>0.01*(O13+P13)</f>
        <v>191.2225</v>
      </c>
      <c r="U13" s="133">
        <f>+T13-M13</f>
        <v>13.238399999999984</v>
      </c>
      <c r="V13" s="166">
        <f>+U13*6</f>
        <v>79.4303999999999</v>
      </c>
    </row>
    <row r="14" spans="1:22" s="155" customFormat="1" ht="12.75">
      <c r="A14" s="110"/>
      <c r="B14" s="112" t="str">
        <f>'2c moi'!B12</f>
        <v>+ Đào tạo</v>
      </c>
      <c r="C14" s="112">
        <f>SUM(C15:C24)</f>
        <v>229</v>
      </c>
      <c r="D14" s="112">
        <f>SUM(D15:D24)</f>
        <v>108.1</v>
      </c>
      <c r="E14" s="112">
        <f>SUM(E15:E24)</f>
        <v>382</v>
      </c>
      <c r="F14" s="133">
        <f aca="true" t="shared" si="3" ref="F14:U14">+SUM(F15:F24)</f>
        <v>519</v>
      </c>
      <c r="G14" s="133">
        <f t="shared" si="3"/>
        <v>2201.06068</v>
      </c>
      <c r="H14" s="133">
        <f t="shared" si="3"/>
        <v>1926.411</v>
      </c>
      <c r="I14" s="133">
        <f t="shared" si="3"/>
        <v>252.85700000000003</v>
      </c>
      <c r="J14" s="133">
        <f t="shared" si="3"/>
        <v>61.123</v>
      </c>
      <c r="K14" s="133">
        <f t="shared" si="3"/>
        <v>13.938999999999998</v>
      </c>
      <c r="L14" s="133">
        <f t="shared" si="3"/>
        <v>177.79500000000002</v>
      </c>
      <c r="M14" s="133">
        <f t="shared" si="3"/>
        <v>21.79268</v>
      </c>
      <c r="N14" s="133">
        <f t="shared" si="3"/>
        <v>2352.1607200000003</v>
      </c>
      <c r="O14" s="133">
        <f t="shared" si="3"/>
        <v>2051.361</v>
      </c>
      <c r="P14" s="133">
        <f t="shared" si="3"/>
        <v>277.51099999999997</v>
      </c>
      <c r="Q14" s="133">
        <f t="shared" si="3"/>
        <v>69.225</v>
      </c>
      <c r="R14" s="133">
        <f t="shared" si="3"/>
        <v>15.055</v>
      </c>
      <c r="S14" s="133">
        <f t="shared" si="3"/>
        <v>193.231</v>
      </c>
      <c r="T14" s="133">
        <f t="shared" si="3"/>
        <v>23.28872</v>
      </c>
      <c r="U14" s="133">
        <f t="shared" si="3"/>
        <v>1.49604</v>
      </c>
      <c r="V14" s="166">
        <f>+SUM(V15:V24)</f>
        <v>8.97624</v>
      </c>
    </row>
    <row r="15" spans="1:22" s="155" customFormat="1" ht="12.75">
      <c r="A15" s="110"/>
      <c r="B15" s="112" t="str">
        <f>'2c moi'!B13</f>
        <v>- Sở GDĐT</v>
      </c>
      <c r="C15" s="112">
        <v>0</v>
      </c>
      <c r="D15" s="112"/>
      <c r="E15" s="112">
        <v>0</v>
      </c>
      <c r="F15" s="112">
        <v>0</v>
      </c>
      <c r="G15" s="179">
        <f>+H15+I15+M15</f>
        <v>0</v>
      </c>
      <c r="H15" s="133">
        <v>0</v>
      </c>
      <c r="I15" s="133">
        <f>+SUM(J15:L15)</f>
        <v>0</v>
      </c>
      <c r="J15" s="133">
        <v>0</v>
      </c>
      <c r="K15" s="133">
        <v>0</v>
      </c>
      <c r="L15" s="133">
        <v>0</v>
      </c>
      <c r="M15" s="133">
        <f>0.01*(H15+I15)</f>
        <v>0</v>
      </c>
      <c r="N15" s="133">
        <f>+O15+P15+T15</f>
        <v>0</v>
      </c>
      <c r="O15" s="200">
        <v>0</v>
      </c>
      <c r="P15" s="133">
        <f aca="true" t="shared" si="4" ref="P15:P26">+SUM(Q15:S15)</f>
        <v>0</v>
      </c>
      <c r="Q15" s="133">
        <v>0</v>
      </c>
      <c r="R15" s="133">
        <v>0</v>
      </c>
      <c r="S15" s="133">
        <v>0</v>
      </c>
      <c r="T15" s="133">
        <f aca="true" t="shared" si="5" ref="T15:T20">0.01*(O15+P15)</f>
        <v>0</v>
      </c>
      <c r="U15" s="133">
        <f aca="true" t="shared" si="6" ref="U15:U20">+T15-M15</f>
        <v>0</v>
      </c>
      <c r="V15" s="166">
        <f>+U15*6</f>
        <v>0</v>
      </c>
    </row>
    <row r="16" spans="1:22" s="155" customFormat="1" ht="12.75">
      <c r="A16" s="110"/>
      <c r="B16" s="112" t="str">
        <f>'2c moi'!B14</f>
        <v>- Trường Chính trị</v>
      </c>
      <c r="C16" s="112">
        <v>0</v>
      </c>
      <c r="D16" s="112">
        <v>0</v>
      </c>
      <c r="E16" s="112">
        <v>55</v>
      </c>
      <c r="F16" s="112">
        <v>35</v>
      </c>
      <c r="G16" s="179">
        <f>+H16+I16+M16</f>
        <v>202.202</v>
      </c>
      <c r="H16" s="200">
        <v>169</v>
      </c>
      <c r="I16" s="133">
        <f>+SUM(J16:L16)</f>
        <v>31.2</v>
      </c>
      <c r="J16" s="200">
        <v>9.2</v>
      </c>
      <c r="K16" s="200">
        <v>0</v>
      </c>
      <c r="L16" s="200">
        <v>22</v>
      </c>
      <c r="M16" s="133">
        <f>0.01*(H16+I16)</f>
        <v>2.002</v>
      </c>
      <c r="N16" s="133">
        <f>+O16+P16+T16</f>
        <v>220.685</v>
      </c>
      <c r="O16" s="200">
        <v>181</v>
      </c>
      <c r="P16" s="133">
        <f t="shared" si="4"/>
        <v>37.5</v>
      </c>
      <c r="Q16" s="200">
        <v>12.5</v>
      </c>
      <c r="R16" s="200">
        <v>0</v>
      </c>
      <c r="S16" s="200">
        <v>25</v>
      </c>
      <c r="T16" s="133">
        <f>0.01*(O16+P16)</f>
        <v>2.185</v>
      </c>
      <c r="U16" s="133">
        <f t="shared" si="6"/>
        <v>0.18300000000000027</v>
      </c>
      <c r="V16" s="174">
        <f>+U16*6</f>
        <v>1.0980000000000016</v>
      </c>
    </row>
    <row r="17" spans="1:22" s="155" customFormat="1" ht="12.75">
      <c r="A17" s="110"/>
      <c r="B17" s="112" t="str">
        <f>'2c moi'!B15</f>
        <v>- Trường Trung cấp nghề 26-3</v>
      </c>
      <c r="C17" s="112">
        <v>33</v>
      </c>
      <c r="D17" s="112">
        <v>27</v>
      </c>
      <c r="E17" s="112">
        <v>39</v>
      </c>
      <c r="F17" s="112">
        <v>33</v>
      </c>
      <c r="G17" s="179">
        <f>+H17+I17+M17</f>
        <v>135.643</v>
      </c>
      <c r="H17" s="133">
        <v>104</v>
      </c>
      <c r="I17" s="133">
        <f>+SUM(J17:L17)</f>
        <v>30.3</v>
      </c>
      <c r="J17" s="133">
        <v>4</v>
      </c>
      <c r="K17" s="133">
        <v>0</v>
      </c>
      <c r="L17" s="133">
        <v>26.3</v>
      </c>
      <c r="M17" s="133">
        <f>0.01*(H17+I17)</f>
        <v>1.3430000000000002</v>
      </c>
      <c r="N17" s="133">
        <f>+O17+P17+T17</f>
        <v>144.733</v>
      </c>
      <c r="O17" s="133">
        <v>112</v>
      </c>
      <c r="P17" s="133">
        <f>+SUM(Q17:S17)</f>
        <v>31.3</v>
      </c>
      <c r="Q17" s="133">
        <v>4.3</v>
      </c>
      <c r="R17" s="133">
        <v>0</v>
      </c>
      <c r="S17" s="133">
        <v>27</v>
      </c>
      <c r="T17" s="133">
        <f t="shared" si="5"/>
        <v>1.433</v>
      </c>
      <c r="U17" s="191">
        <f t="shared" si="6"/>
        <v>0.08999999999999986</v>
      </c>
      <c r="V17" s="174">
        <f>+U17*6</f>
        <v>0.5399999999999991</v>
      </c>
    </row>
    <row r="18" spans="1:22" s="155" customFormat="1" ht="12.75">
      <c r="A18" s="110"/>
      <c r="B18" s="112" t="str">
        <f>'2c moi'!B16</f>
        <v>-Trường TC VHNT</v>
      </c>
      <c r="C18" s="284">
        <v>0</v>
      </c>
      <c r="D18" s="284"/>
      <c r="E18" s="284">
        <v>0</v>
      </c>
      <c r="F18" s="284">
        <v>0</v>
      </c>
      <c r="G18" s="179">
        <f aca="true" t="shared" si="7" ref="G18:G26">+H18+I18+M18</f>
        <v>0</v>
      </c>
      <c r="H18" s="180">
        <v>0</v>
      </c>
      <c r="I18" s="133">
        <f aca="true" t="shared" si="8" ref="I18:I27">+SUM(J18:L18)</f>
        <v>0</v>
      </c>
      <c r="J18" s="180">
        <v>0</v>
      </c>
      <c r="K18" s="180">
        <v>0</v>
      </c>
      <c r="L18" s="180">
        <v>0</v>
      </c>
      <c r="M18" s="133">
        <f aca="true" t="shared" si="9" ref="M18:M24">0.01*(H18+I18)</f>
        <v>0</v>
      </c>
      <c r="N18" s="133">
        <f aca="true" t="shared" si="10" ref="N18:N24">+O18+P18+T18</f>
        <v>0</v>
      </c>
      <c r="O18" s="180">
        <v>0</v>
      </c>
      <c r="P18" s="133">
        <f t="shared" si="4"/>
        <v>0</v>
      </c>
      <c r="Q18" s="180">
        <v>0</v>
      </c>
      <c r="R18" s="180">
        <v>0</v>
      </c>
      <c r="S18" s="180">
        <v>0</v>
      </c>
      <c r="T18" s="133">
        <f t="shared" si="5"/>
        <v>0</v>
      </c>
      <c r="U18" s="133">
        <f t="shared" si="6"/>
        <v>0</v>
      </c>
      <c r="V18" s="166">
        <f>+U18*8</f>
        <v>0</v>
      </c>
    </row>
    <row r="19" spans="1:22" s="155" customFormat="1" ht="12.75">
      <c r="A19" s="110"/>
      <c r="B19" s="112" t="str">
        <f>'2c moi'!B18</f>
        <v>- Trường PT Năng khiếu thể thao</v>
      </c>
      <c r="C19" s="284">
        <v>0</v>
      </c>
      <c r="D19" s="284"/>
      <c r="E19" s="284">
        <v>39</v>
      </c>
      <c r="F19" s="284">
        <v>37</v>
      </c>
      <c r="G19" s="179">
        <f t="shared" si="7"/>
        <v>136.72875</v>
      </c>
      <c r="H19" s="180">
        <v>129.82</v>
      </c>
      <c r="I19" s="133">
        <f t="shared" si="8"/>
        <v>5.555</v>
      </c>
      <c r="J19" s="180">
        <v>2.965</v>
      </c>
      <c r="K19" s="180">
        <v>0.482</v>
      </c>
      <c r="L19" s="180">
        <v>2.108</v>
      </c>
      <c r="M19" s="133">
        <f t="shared" si="9"/>
        <v>1.35375</v>
      </c>
      <c r="N19" s="133">
        <f t="shared" si="10"/>
        <v>146.89844</v>
      </c>
      <c r="O19" s="180">
        <v>139.476</v>
      </c>
      <c r="P19" s="133">
        <f t="shared" si="4"/>
        <v>5.968</v>
      </c>
      <c r="Q19" s="180">
        <v>3.185</v>
      </c>
      <c r="R19" s="180">
        <v>0.518</v>
      </c>
      <c r="S19" s="180">
        <v>2.265</v>
      </c>
      <c r="T19" s="133">
        <f t="shared" si="5"/>
        <v>1.45444</v>
      </c>
      <c r="U19" s="133">
        <f>+T19-M19</f>
        <v>0.10068999999999995</v>
      </c>
      <c r="V19" s="166">
        <f>+U19*6</f>
        <v>0.6041399999999997</v>
      </c>
    </row>
    <row r="20" spans="1:22" s="155" customFormat="1" ht="12" customHeight="1">
      <c r="A20" s="110"/>
      <c r="B20" s="112" t="str">
        <f>'2c moi'!B19</f>
        <v>- Trường TC nghề Giao thông Vận tải</v>
      </c>
      <c r="C20" s="112">
        <v>0</v>
      </c>
      <c r="D20" s="112">
        <v>0</v>
      </c>
      <c r="E20" s="112">
        <v>36</v>
      </c>
      <c r="F20" s="112">
        <v>77</v>
      </c>
      <c r="G20" s="179">
        <f t="shared" si="7"/>
        <v>301.39410000000004</v>
      </c>
      <c r="H20" s="180">
        <v>276.567</v>
      </c>
      <c r="I20" s="133">
        <f t="shared" si="8"/>
        <v>21.843</v>
      </c>
      <c r="J20" s="180">
        <v>5.324</v>
      </c>
      <c r="K20" s="180">
        <v>0.903</v>
      </c>
      <c r="L20" s="180">
        <v>15.616</v>
      </c>
      <c r="M20" s="133">
        <f t="shared" si="9"/>
        <v>2.9841</v>
      </c>
      <c r="N20" s="133">
        <f t="shared" si="10"/>
        <v>308.42572</v>
      </c>
      <c r="O20" s="180">
        <v>278.867</v>
      </c>
      <c r="P20" s="133">
        <f t="shared" si="4"/>
        <v>26.505</v>
      </c>
      <c r="Q20" s="180">
        <v>7.02</v>
      </c>
      <c r="R20" s="180">
        <v>0.971</v>
      </c>
      <c r="S20" s="180">
        <v>18.514</v>
      </c>
      <c r="T20" s="133">
        <f t="shared" si="5"/>
        <v>3.05372</v>
      </c>
      <c r="U20" s="133">
        <f t="shared" si="6"/>
        <v>0.06962000000000002</v>
      </c>
      <c r="V20" s="166">
        <f>+U20*6</f>
        <v>0.4177200000000001</v>
      </c>
    </row>
    <row r="21" spans="1:22" s="155" customFormat="1" ht="12.75">
      <c r="A21" s="110"/>
      <c r="B21" s="112" t="str">
        <f>'2c moi'!B20</f>
        <v>- Trường ĐH Đồng Nai</v>
      </c>
      <c r="C21" s="112"/>
      <c r="D21" s="112"/>
      <c r="E21" s="112">
        <v>0</v>
      </c>
      <c r="F21" s="112">
        <v>0</v>
      </c>
      <c r="G21" s="179">
        <f t="shared" si="7"/>
        <v>0</v>
      </c>
      <c r="H21" s="180">
        <v>0</v>
      </c>
      <c r="I21" s="133">
        <f t="shared" si="8"/>
        <v>0</v>
      </c>
      <c r="J21" s="180">
        <v>0</v>
      </c>
      <c r="K21" s="180">
        <v>0</v>
      </c>
      <c r="L21" s="180">
        <v>0</v>
      </c>
      <c r="M21" s="133">
        <f t="shared" si="9"/>
        <v>0</v>
      </c>
      <c r="N21" s="133">
        <f t="shared" si="10"/>
        <v>0</v>
      </c>
      <c r="O21" s="180">
        <v>0</v>
      </c>
      <c r="P21" s="133">
        <f t="shared" si="4"/>
        <v>0</v>
      </c>
      <c r="Q21" s="180">
        <v>0</v>
      </c>
      <c r="R21" s="180">
        <v>0</v>
      </c>
      <c r="S21" s="180">
        <v>0</v>
      </c>
      <c r="T21" s="133">
        <f aca="true" t="shared" si="11" ref="T21:T26">0.01*(O21+P21)</f>
        <v>0</v>
      </c>
      <c r="U21" s="133">
        <f aca="true" t="shared" si="12" ref="U21:U26">+T21-M21</f>
        <v>0</v>
      </c>
      <c r="V21" s="166">
        <f>+U21*8</f>
        <v>0</v>
      </c>
    </row>
    <row r="22" spans="1:22" s="155" customFormat="1" ht="13.5" customHeight="1">
      <c r="A22" s="110"/>
      <c r="B22" s="112" t="str">
        <f>'2c moi'!B21</f>
        <v>- Trường Cao đẳng Y tế</v>
      </c>
      <c r="C22" s="112">
        <v>97</v>
      </c>
      <c r="D22" s="112">
        <v>8.1</v>
      </c>
      <c r="E22" s="112">
        <v>75</v>
      </c>
      <c r="F22" s="112">
        <v>97</v>
      </c>
      <c r="G22" s="179">
        <f t="shared" si="7"/>
        <v>409.757</v>
      </c>
      <c r="H22" s="180">
        <v>365</v>
      </c>
      <c r="I22" s="133">
        <f t="shared" si="8"/>
        <v>40.7</v>
      </c>
      <c r="J22" s="180">
        <v>11</v>
      </c>
      <c r="K22" s="180">
        <v>4.3</v>
      </c>
      <c r="L22" s="180">
        <v>25.4</v>
      </c>
      <c r="M22" s="133">
        <f t="shared" si="9"/>
        <v>4.057</v>
      </c>
      <c r="N22" s="133">
        <f t="shared" si="10"/>
        <v>439.653</v>
      </c>
      <c r="O22" s="180">
        <v>392</v>
      </c>
      <c r="P22" s="133">
        <f t="shared" si="4"/>
        <v>43.3</v>
      </c>
      <c r="Q22" s="180">
        <v>11.2</v>
      </c>
      <c r="R22" s="180">
        <v>4.7</v>
      </c>
      <c r="S22" s="180">
        <v>27.4</v>
      </c>
      <c r="T22" s="133">
        <f>0.01*(O22+P22)</f>
        <v>4.353000000000001</v>
      </c>
      <c r="U22" s="133">
        <f t="shared" si="12"/>
        <v>0.29600000000000026</v>
      </c>
      <c r="V22" s="166">
        <f>+U22*6</f>
        <v>1.7760000000000016</v>
      </c>
    </row>
    <row r="23" spans="1:22" s="155" customFormat="1" ht="12.75">
      <c r="A23" s="110"/>
      <c r="B23" s="112" t="str">
        <f>'2c moi'!B22</f>
        <v>- Trường Cao đẳng nghề</v>
      </c>
      <c r="C23" s="112"/>
      <c r="D23" s="112"/>
      <c r="E23" s="112">
        <v>75</v>
      </c>
      <c r="F23" s="112">
        <v>142</v>
      </c>
      <c r="G23" s="179">
        <f t="shared" si="7"/>
        <v>687.67163</v>
      </c>
      <c r="H23" s="112">
        <v>578.024</v>
      </c>
      <c r="I23" s="133">
        <f t="shared" si="8"/>
        <v>102.839</v>
      </c>
      <c r="J23" s="180">
        <v>18.634</v>
      </c>
      <c r="K23" s="133">
        <v>7.834</v>
      </c>
      <c r="L23" s="180">
        <v>76.371</v>
      </c>
      <c r="M23" s="133">
        <f t="shared" si="9"/>
        <v>6.808630000000001</v>
      </c>
      <c r="N23" s="133">
        <f t="shared" si="10"/>
        <v>738.8210600000001</v>
      </c>
      <c r="O23" s="180">
        <v>621.018</v>
      </c>
      <c r="P23" s="133">
        <f t="shared" si="4"/>
        <v>110.488</v>
      </c>
      <c r="Q23" s="180">
        <v>20.02</v>
      </c>
      <c r="R23" s="180">
        <v>8.416</v>
      </c>
      <c r="S23" s="180">
        <v>82.052</v>
      </c>
      <c r="T23" s="133">
        <f t="shared" si="11"/>
        <v>7.315060000000001</v>
      </c>
      <c r="U23" s="133">
        <f t="shared" si="12"/>
        <v>0.5064299999999999</v>
      </c>
      <c r="V23" s="166">
        <f>+U23*6</f>
        <v>3.0385799999999996</v>
      </c>
    </row>
    <row r="24" spans="1:22" s="155" customFormat="1" ht="12.75">
      <c r="A24" s="110"/>
      <c r="B24" s="112" t="str">
        <f>'2c moi'!B23</f>
        <v>- Trường CĐ Nghề Công nghệ cao</v>
      </c>
      <c r="C24" s="192">
        <v>99</v>
      </c>
      <c r="D24" s="192">
        <v>73</v>
      </c>
      <c r="E24" s="192">
        <v>63</v>
      </c>
      <c r="F24" s="192">
        <v>98</v>
      </c>
      <c r="G24" s="193">
        <f t="shared" si="7"/>
        <v>327.6642</v>
      </c>
      <c r="H24" s="194">
        <v>304</v>
      </c>
      <c r="I24" s="195">
        <f t="shared" si="8"/>
        <v>20.42</v>
      </c>
      <c r="J24" s="194">
        <v>10</v>
      </c>
      <c r="K24" s="194">
        <v>0.42</v>
      </c>
      <c r="L24" s="194">
        <v>10</v>
      </c>
      <c r="M24" s="195">
        <f t="shared" si="9"/>
        <v>3.2442</v>
      </c>
      <c r="N24" s="195">
        <f t="shared" si="10"/>
        <v>352.9445</v>
      </c>
      <c r="O24" s="194">
        <v>327</v>
      </c>
      <c r="P24" s="195">
        <f t="shared" si="4"/>
        <v>22.45</v>
      </c>
      <c r="Q24" s="194">
        <v>11</v>
      </c>
      <c r="R24" s="194">
        <v>0.45</v>
      </c>
      <c r="S24" s="194">
        <v>11</v>
      </c>
      <c r="T24" s="133">
        <f t="shared" si="11"/>
        <v>3.4945</v>
      </c>
      <c r="U24" s="133">
        <f t="shared" si="12"/>
        <v>0.25029999999999974</v>
      </c>
      <c r="V24" s="166">
        <f>+U24*6</f>
        <v>1.5017999999999985</v>
      </c>
    </row>
    <row r="25" spans="1:22" s="139" customFormat="1" ht="12.75">
      <c r="A25" s="100" t="s">
        <v>24</v>
      </c>
      <c r="B25" s="103" t="s">
        <v>94</v>
      </c>
      <c r="C25" s="103"/>
      <c r="D25" s="103"/>
      <c r="E25" s="103">
        <v>8644</v>
      </c>
      <c r="F25" s="103">
        <v>7817</v>
      </c>
      <c r="G25" s="260">
        <f t="shared" si="7"/>
        <v>26578.75196</v>
      </c>
      <c r="H25" s="130">
        <v>25530.27</v>
      </c>
      <c r="I25" s="130">
        <f t="shared" si="8"/>
        <v>785.326</v>
      </c>
      <c r="J25" s="130">
        <v>527.505</v>
      </c>
      <c r="K25" s="130">
        <v>257.821</v>
      </c>
      <c r="L25" s="130">
        <v>0</v>
      </c>
      <c r="M25" s="130">
        <f>0.01*(H25+I25)</f>
        <v>263.15596</v>
      </c>
      <c r="N25" s="130">
        <f>+O25+P25+T25</f>
        <v>27965.468829999998</v>
      </c>
      <c r="O25" s="130">
        <v>26862.284</v>
      </c>
      <c r="P25" s="130">
        <f t="shared" si="4"/>
        <v>826.299</v>
      </c>
      <c r="Q25" s="130">
        <v>555.027</v>
      </c>
      <c r="R25" s="130">
        <v>271.272</v>
      </c>
      <c r="S25" s="130">
        <v>0</v>
      </c>
      <c r="T25" s="130">
        <f t="shared" si="11"/>
        <v>276.88583</v>
      </c>
      <c r="U25" s="130">
        <f t="shared" si="12"/>
        <v>13.729870000000005</v>
      </c>
      <c r="V25" s="234">
        <f>+U25*8</f>
        <v>109.83896000000004</v>
      </c>
    </row>
    <row r="26" spans="1:22" s="138" customFormat="1" ht="12.75">
      <c r="A26" s="71" t="s">
        <v>177</v>
      </c>
      <c r="B26" s="72" t="s">
        <v>181</v>
      </c>
      <c r="C26" s="72"/>
      <c r="D26" s="72"/>
      <c r="E26" s="72">
        <v>79</v>
      </c>
      <c r="F26" s="72">
        <v>75</v>
      </c>
      <c r="G26" s="137">
        <f t="shared" si="7"/>
        <v>255.14720999999997</v>
      </c>
      <c r="H26" s="118">
        <v>245.123</v>
      </c>
      <c r="I26" s="118">
        <f t="shared" si="8"/>
        <v>7.497999999999999</v>
      </c>
      <c r="J26" s="118">
        <v>5.52</v>
      </c>
      <c r="K26" s="118">
        <v>1.978</v>
      </c>
      <c r="L26" s="118">
        <v>0</v>
      </c>
      <c r="M26" s="118">
        <f>0.01*(H26+I26)</f>
        <v>2.52621</v>
      </c>
      <c r="N26" s="118">
        <f>+O26+P26+T26</f>
        <v>268.45901</v>
      </c>
      <c r="O26" s="118">
        <v>257.912</v>
      </c>
      <c r="P26" s="118">
        <f t="shared" si="4"/>
        <v>7.888999999999999</v>
      </c>
      <c r="Q26" s="118">
        <v>5.808</v>
      </c>
      <c r="R26" s="118">
        <v>2.081</v>
      </c>
      <c r="S26" s="118">
        <v>0</v>
      </c>
      <c r="T26" s="118">
        <f t="shared" si="11"/>
        <v>2.65801</v>
      </c>
      <c r="U26" s="118">
        <f t="shared" si="12"/>
        <v>0.13180000000000014</v>
      </c>
      <c r="V26" s="228">
        <f>+U26*8</f>
        <v>1.0544000000000011</v>
      </c>
    </row>
    <row r="27" spans="1:22" s="139" customFormat="1" ht="12.75">
      <c r="A27" s="100" t="s">
        <v>26</v>
      </c>
      <c r="B27" s="103" t="s">
        <v>63</v>
      </c>
      <c r="C27" s="103"/>
      <c r="D27" s="103"/>
      <c r="E27" s="103"/>
      <c r="F27" s="103"/>
      <c r="G27" s="130">
        <v>0</v>
      </c>
      <c r="H27" s="130">
        <v>0</v>
      </c>
      <c r="I27" s="130">
        <f t="shared" si="8"/>
        <v>0</v>
      </c>
      <c r="J27" s="130">
        <v>0</v>
      </c>
      <c r="K27" s="130">
        <v>0</v>
      </c>
      <c r="L27" s="130">
        <v>0</v>
      </c>
      <c r="M27" s="130">
        <f>0.01*(H27+I27)</f>
        <v>0</v>
      </c>
      <c r="N27" s="130">
        <f>+O27+P27+T27</f>
        <v>0</v>
      </c>
      <c r="O27" s="130">
        <v>0</v>
      </c>
      <c r="P27" s="130">
        <f>+SUM(Q27:S27)</f>
        <v>0</v>
      </c>
      <c r="Q27" s="130">
        <v>0</v>
      </c>
      <c r="R27" s="130">
        <v>0</v>
      </c>
      <c r="S27" s="130">
        <v>0</v>
      </c>
      <c r="T27" s="130">
        <f>0.01*(O27+P27)</f>
        <v>0</v>
      </c>
      <c r="U27" s="176">
        <f>+T27-M27</f>
        <v>0</v>
      </c>
      <c r="V27" s="229">
        <f>+U27*6</f>
        <v>0</v>
      </c>
    </row>
    <row r="28" spans="1:22" s="139" customFormat="1" ht="12.75">
      <c r="A28" s="100" t="s">
        <v>28</v>
      </c>
      <c r="B28" s="103" t="s">
        <v>29</v>
      </c>
      <c r="C28" s="103">
        <f>C29+C39+C40</f>
        <v>22</v>
      </c>
      <c r="D28" s="103">
        <f aca="true" t="shared" si="13" ref="D28:V28">D29+D39+D40</f>
        <v>22.293</v>
      </c>
      <c r="E28" s="103">
        <f t="shared" si="13"/>
        <v>334</v>
      </c>
      <c r="F28" s="103">
        <f t="shared" si="13"/>
        <v>313</v>
      </c>
      <c r="G28" s="103">
        <f t="shared" si="13"/>
        <v>974.9934000000001</v>
      </c>
      <c r="H28" s="103">
        <f t="shared" si="13"/>
        <v>1002.1449999999999</v>
      </c>
      <c r="I28" s="103">
        <f t="shared" si="13"/>
        <v>54.165</v>
      </c>
      <c r="J28" s="103">
        <f t="shared" si="13"/>
        <v>31.397999999999996</v>
      </c>
      <c r="K28" s="103">
        <f t="shared" si="13"/>
        <v>22.407000000000004</v>
      </c>
      <c r="L28" s="103">
        <f t="shared" si="13"/>
        <v>0.36</v>
      </c>
      <c r="M28" s="103">
        <f t="shared" si="13"/>
        <v>10.563099999999999</v>
      </c>
      <c r="N28" s="103">
        <f t="shared" si="13"/>
        <v>1047.97499</v>
      </c>
      <c r="O28" s="103">
        <f t="shared" si="13"/>
        <v>1077.138</v>
      </c>
      <c r="P28" s="103">
        <f t="shared" si="13"/>
        <v>58.191</v>
      </c>
      <c r="Q28" s="103">
        <f t="shared" si="13"/>
        <v>33.735</v>
      </c>
      <c r="R28" s="103">
        <f t="shared" si="13"/>
        <v>24.066</v>
      </c>
      <c r="S28" s="103">
        <f t="shared" si="13"/>
        <v>0.39</v>
      </c>
      <c r="T28" s="103">
        <f t="shared" si="13"/>
        <v>11.353290000000001</v>
      </c>
      <c r="U28" s="103">
        <f t="shared" si="13"/>
        <v>0.7901900000000002</v>
      </c>
      <c r="V28" s="103">
        <f t="shared" si="13"/>
        <v>4.741140000000001</v>
      </c>
    </row>
    <row r="29" spans="1:22" s="155" customFormat="1" ht="12.75">
      <c r="A29" s="110"/>
      <c r="B29" s="112" t="s">
        <v>161</v>
      </c>
      <c r="C29" s="112"/>
      <c r="D29" s="112"/>
      <c r="E29" s="112">
        <v>310</v>
      </c>
      <c r="F29" s="112">
        <v>291</v>
      </c>
      <c r="G29" s="133">
        <f>SUM(G30:G38)</f>
        <v>974.9934000000001</v>
      </c>
      <c r="H29" s="133">
        <f aca="true" t="shared" si="14" ref="H29:U29">SUM(H30:H38)</f>
        <v>917.3949999999999</v>
      </c>
      <c r="I29" s="133">
        <f t="shared" si="14"/>
        <v>47.945</v>
      </c>
      <c r="J29" s="133">
        <f t="shared" si="14"/>
        <v>26.317999999999998</v>
      </c>
      <c r="K29" s="133">
        <f t="shared" si="14"/>
        <v>21.627000000000002</v>
      </c>
      <c r="L29" s="133">
        <f t="shared" si="14"/>
        <v>0</v>
      </c>
      <c r="M29" s="133">
        <f t="shared" si="14"/>
        <v>9.6534</v>
      </c>
      <c r="N29" s="133">
        <f t="shared" si="14"/>
        <v>1047.97499</v>
      </c>
      <c r="O29" s="133">
        <f t="shared" si="14"/>
        <v>986.088</v>
      </c>
      <c r="P29" s="133">
        <f t="shared" si="14"/>
        <v>51.511</v>
      </c>
      <c r="Q29" s="133">
        <f t="shared" si="14"/>
        <v>28.275</v>
      </c>
      <c r="R29" s="133">
        <f t="shared" si="14"/>
        <v>23.236</v>
      </c>
      <c r="S29" s="133">
        <f t="shared" si="14"/>
        <v>0</v>
      </c>
      <c r="T29" s="133">
        <f t="shared" si="14"/>
        <v>10.375990000000002</v>
      </c>
      <c r="U29" s="133">
        <f t="shared" si="14"/>
        <v>0.7225900000000002</v>
      </c>
      <c r="V29" s="133">
        <f>SUM(V30:V38)</f>
        <v>4.335540000000001</v>
      </c>
    </row>
    <row r="30" spans="1:22" s="283" customFormat="1" ht="12.75">
      <c r="A30" s="186"/>
      <c r="B30" s="280" t="s">
        <v>252</v>
      </c>
      <c r="C30" s="188"/>
      <c r="D30" s="188"/>
      <c r="E30" s="188">
        <v>34</v>
      </c>
      <c r="F30" s="188">
        <v>33</v>
      </c>
      <c r="G30" s="281">
        <f aca="true" t="shared" si="15" ref="G30:G38">+H30+I30+M30</f>
        <v>144.64311</v>
      </c>
      <c r="H30" s="189">
        <v>134.988</v>
      </c>
      <c r="I30" s="189">
        <f aca="true" t="shared" si="16" ref="I30:I39">+SUM(J30:L30)</f>
        <v>8.222999999999999</v>
      </c>
      <c r="J30" s="189">
        <v>3.872</v>
      </c>
      <c r="K30" s="189">
        <v>4.351</v>
      </c>
      <c r="L30" s="189">
        <v>0</v>
      </c>
      <c r="M30" s="189">
        <f aca="true" t="shared" si="17" ref="M30:M39">0.01*(H30+I30)</f>
        <v>1.4321100000000002</v>
      </c>
      <c r="N30" s="189">
        <f>+O30+P30+T30</f>
        <v>155.40163</v>
      </c>
      <c r="O30" s="189">
        <v>145.028</v>
      </c>
      <c r="P30" s="189">
        <f>+SUM(Q30:S30)</f>
        <v>8.835</v>
      </c>
      <c r="Q30" s="189">
        <v>4.16</v>
      </c>
      <c r="R30" s="189">
        <v>4.675</v>
      </c>
      <c r="S30" s="189">
        <v>0</v>
      </c>
      <c r="T30" s="189">
        <f>0.01*(O30+P30)</f>
        <v>1.53863</v>
      </c>
      <c r="U30" s="189">
        <f>+T30-M30</f>
        <v>0.10651999999999973</v>
      </c>
      <c r="V30" s="282">
        <f>+U30*6</f>
        <v>0.6391199999999984</v>
      </c>
    </row>
    <row r="31" spans="1:22" s="283" customFormat="1" ht="12.75">
      <c r="A31" s="186"/>
      <c r="B31" s="280" t="s">
        <v>259</v>
      </c>
      <c r="C31" s="188"/>
      <c r="D31" s="188"/>
      <c r="E31" s="188">
        <v>45</v>
      </c>
      <c r="F31" s="188">
        <v>44</v>
      </c>
      <c r="G31" s="281">
        <f t="shared" si="15"/>
        <v>185.22188</v>
      </c>
      <c r="H31" s="189">
        <v>171.663</v>
      </c>
      <c r="I31" s="189">
        <f t="shared" si="16"/>
        <v>11.725</v>
      </c>
      <c r="J31" s="189">
        <v>1.089</v>
      </c>
      <c r="K31" s="189">
        <v>10.636</v>
      </c>
      <c r="L31" s="189">
        <v>0</v>
      </c>
      <c r="M31" s="189">
        <f t="shared" si="17"/>
        <v>1.8338800000000002</v>
      </c>
      <c r="N31" s="189">
        <f aca="true" t="shared" si="18" ref="N31:N38">+O31+P31+T31</f>
        <v>198.99828000000002</v>
      </c>
      <c r="O31" s="189">
        <v>184.431</v>
      </c>
      <c r="P31" s="189">
        <f aca="true" t="shared" si="19" ref="P31:P37">+SUM(Q31:S31)</f>
        <v>12.597</v>
      </c>
      <c r="Q31" s="189">
        <v>1.17</v>
      </c>
      <c r="R31" s="189">
        <v>11.427</v>
      </c>
      <c r="S31" s="189">
        <v>0</v>
      </c>
      <c r="T31" s="189">
        <f aca="true" t="shared" si="20" ref="T31:T37">0.01*(O31+P31)</f>
        <v>1.9702800000000003</v>
      </c>
      <c r="U31" s="189">
        <f aca="true" t="shared" si="21" ref="U31:U37">+T31-M31</f>
        <v>0.13640000000000008</v>
      </c>
      <c r="V31" s="282">
        <f aca="true" t="shared" si="22" ref="V31:V38">+U31*6</f>
        <v>0.8184000000000005</v>
      </c>
    </row>
    <row r="32" spans="1:22" s="283" customFormat="1" ht="12.75">
      <c r="A32" s="186"/>
      <c r="B32" s="280" t="s">
        <v>253</v>
      </c>
      <c r="C32" s="188"/>
      <c r="D32" s="188"/>
      <c r="E32" s="188">
        <v>29</v>
      </c>
      <c r="F32" s="188">
        <v>28</v>
      </c>
      <c r="G32" s="281">
        <f t="shared" si="15"/>
        <v>121.19494999999999</v>
      </c>
      <c r="H32" s="189">
        <v>116.124</v>
      </c>
      <c r="I32" s="189">
        <f t="shared" si="16"/>
        <v>3.871</v>
      </c>
      <c r="J32" s="189">
        <v>3.57</v>
      </c>
      <c r="K32" s="189">
        <v>0.301</v>
      </c>
      <c r="L32" s="189">
        <v>0</v>
      </c>
      <c r="M32" s="189">
        <f t="shared" si="17"/>
        <v>1.1999499999999999</v>
      </c>
      <c r="N32" s="189">
        <f t="shared" si="18"/>
        <v>130.20919999999998</v>
      </c>
      <c r="O32" s="189">
        <v>124.761</v>
      </c>
      <c r="P32" s="189">
        <f t="shared" si="19"/>
        <v>4.159</v>
      </c>
      <c r="Q32" s="189">
        <v>3.835</v>
      </c>
      <c r="R32" s="189">
        <v>0.324</v>
      </c>
      <c r="S32" s="189">
        <v>0</v>
      </c>
      <c r="T32" s="189">
        <f t="shared" si="20"/>
        <v>1.2892</v>
      </c>
      <c r="U32" s="189">
        <f t="shared" si="21"/>
        <v>0.08925000000000005</v>
      </c>
      <c r="V32" s="282">
        <f t="shared" si="22"/>
        <v>0.5355000000000003</v>
      </c>
    </row>
    <row r="33" spans="1:22" s="283" customFormat="1" ht="12.75">
      <c r="A33" s="186"/>
      <c r="B33" s="280" t="s">
        <v>254</v>
      </c>
      <c r="C33" s="188"/>
      <c r="D33" s="188"/>
      <c r="E33" s="188">
        <v>43</v>
      </c>
      <c r="F33" s="188">
        <v>35</v>
      </c>
      <c r="G33" s="281">
        <f t="shared" si="15"/>
        <v>143.87753</v>
      </c>
      <c r="H33" s="189">
        <v>136.766</v>
      </c>
      <c r="I33" s="189">
        <f t="shared" si="16"/>
        <v>5.687</v>
      </c>
      <c r="J33" s="189">
        <v>5.687</v>
      </c>
      <c r="K33" s="189">
        <v>0</v>
      </c>
      <c r="L33" s="189">
        <v>0</v>
      </c>
      <c r="M33" s="189">
        <f t="shared" si="17"/>
        <v>1.42453</v>
      </c>
      <c r="N33" s="189">
        <f t="shared" si="18"/>
        <v>154.57949</v>
      </c>
      <c r="O33" s="189">
        <v>146.939</v>
      </c>
      <c r="P33" s="189">
        <f t="shared" si="19"/>
        <v>6.11</v>
      </c>
      <c r="Q33" s="189">
        <v>6.11</v>
      </c>
      <c r="R33" s="189">
        <v>0</v>
      </c>
      <c r="S33" s="189">
        <v>0</v>
      </c>
      <c r="T33" s="189">
        <f t="shared" si="20"/>
        <v>1.5304900000000001</v>
      </c>
      <c r="U33" s="189">
        <f t="shared" si="21"/>
        <v>0.10596000000000005</v>
      </c>
      <c r="V33" s="282">
        <f t="shared" si="22"/>
        <v>0.6357600000000003</v>
      </c>
    </row>
    <row r="34" spans="1:22" s="283" customFormat="1" ht="12.75">
      <c r="A34" s="186"/>
      <c r="B34" s="280" t="s">
        <v>255</v>
      </c>
      <c r="C34" s="188"/>
      <c r="D34" s="188"/>
      <c r="E34" s="188">
        <v>29</v>
      </c>
      <c r="F34" s="188">
        <v>28</v>
      </c>
      <c r="G34" s="281">
        <f t="shared" si="15"/>
        <v>132.30192</v>
      </c>
      <c r="H34" s="189">
        <v>122.803</v>
      </c>
      <c r="I34" s="189">
        <f t="shared" si="16"/>
        <v>8.189</v>
      </c>
      <c r="J34" s="189">
        <v>4.84</v>
      </c>
      <c r="K34" s="189">
        <v>3.349</v>
      </c>
      <c r="L34" s="189">
        <v>0</v>
      </c>
      <c r="M34" s="189">
        <f t="shared" si="17"/>
        <v>1.30992</v>
      </c>
      <c r="N34" s="189">
        <f t="shared" si="18"/>
        <v>142.61503</v>
      </c>
      <c r="O34" s="189">
        <v>132.405</v>
      </c>
      <c r="P34" s="189">
        <f t="shared" si="19"/>
        <v>8.798</v>
      </c>
      <c r="Q34" s="189">
        <v>5.2</v>
      </c>
      <c r="R34" s="189">
        <v>3.598</v>
      </c>
      <c r="S34" s="189">
        <v>0</v>
      </c>
      <c r="T34" s="189">
        <f t="shared" si="20"/>
        <v>1.4120300000000001</v>
      </c>
      <c r="U34" s="189">
        <f t="shared" si="21"/>
        <v>0.10211000000000015</v>
      </c>
      <c r="V34" s="282">
        <f t="shared" si="22"/>
        <v>0.6126600000000009</v>
      </c>
    </row>
    <row r="35" spans="1:22" s="283" customFormat="1" ht="12.75">
      <c r="A35" s="186"/>
      <c r="B35" s="280" t="s">
        <v>256</v>
      </c>
      <c r="C35" s="188"/>
      <c r="D35" s="188"/>
      <c r="E35" s="188">
        <v>36</v>
      </c>
      <c r="F35" s="188">
        <v>36</v>
      </c>
      <c r="G35" s="281">
        <f t="shared" si="15"/>
        <v>121.49289999999999</v>
      </c>
      <c r="H35" s="189">
        <v>116.332</v>
      </c>
      <c r="I35" s="189">
        <f t="shared" si="16"/>
        <v>3.958</v>
      </c>
      <c r="J35" s="189">
        <v>0.968</v>
      </c>
      <c r="K35" s="189">
        <v>2.99</v>
      </c>
      <c r="L35" s="189">
        <v>0</v>
      </c>
      <c r="M35" s="189">
        <f t="shared" si="17"/>
        <v>1.2028999999999999</v>
      </c>
      <c r="N35" s="189">
        <f t="shared" si="18"/>
        <v>130.51826</v>
      </c>
      <c r="O35" s="189">
        <v>124.974</v>
      </c>
      <c r="P35" s="189">
        <f t="shared" si="19"/>
        <v>4.252000000000001</v>
      </c>
      <c r="Q35" s="189">
        <v>1.04</v>
      </c>
      <c r="R35" s="189">
        <v>3.212</v>
      </c>
      <c r="S35" s="189">
        <v>0</v>
      </c>
      <c r="T35" s="189">
        <f t="shared" si="20"/>
        <v>1.29226</v>
      </c>
      <c r="U35" s="189">
        <f t="shared" si="21"/>
        <v>0.0893600000000001</v>
      </c>
      <c r="V35" s="282">
        <f t="shared" si="22"/>
        <v>0.5361600000000006</v>
      </c>
    </row>
    <row r="36" spans="1:22" s="283" customFormat="1" ht="12.75">
      <c r="A36" s="186"/>
      <c r="B36" s="280" t="s">
        <v>260</v>
      </c>
      <c r="C36" s="188"/>
      <c r="D36" s="188"/>
      <c r="E36" s="188">
        <v>26</v>
      </c>
      <c r="F36" s="188">
        <v>24</v>
      </c>
      <c r="G36" s="281">
        <f t="shared" si="15"/>
        <v>84.44105</v>
      </c>
      <c r="H36" s="189">
        <v>79.733</v>
      </c>
      <c r="I36" s="189">
        <f t="shared" si="16"/>
        <v>3.872</v>
      </c>
      <c r="J36" s="189">
        <v>3.872</v>
      </c>
      <c r="K36" s="189">
        <v>0</v>
      </c>
      <c r="L36" s="189">
        <v>0</v>
      </c>
      <c r="M36" s="189">
        <f t="shared" si="17"/>
        <v>0.8360500000000001</v>
      </c>
      <c r="N36" s="189">
        <f t="shared" si="18"/>
        <v>90.72224</v>
      </c>
      <c r="O36" s="189">
        <v>85.664</v>
      </c>
      <c r="P36" s="189">
        <f t="shared" si="19"/>
        <v>4.16</v>
      </c>
      <c r="Q36" s="189">
        <v>4.16</v>
      </c>
      <c r="R36" s="189">
        <v>0</v>
      </c>
      <c r="S36" s="189">
        <v>0</v>
      </c>
      <c r="T36" s="189">
        <f t="shared" si="20"/>
        <v>0.89824</v>
      </c>
      <c r="U36" s="189">
        <f t="shared" si="21"/>
        <v>0.06218999999999997</v>
      </c>
      <c r="V36" s="282">
        <f t="shared" si="22"/>
        <v>0.3731399999999998</v>
      </c>
    </row>
    <row r="37" spans="1:22" s="283" customFormat="1" ht="12.75">
      <c r="A37" s="186"/>
      <c r="B37" s="280" t="s">
        <v>257</v>
      </c>
      <c r="C37" s="188"/>
      <c r="D37" s="188"/>
      <c r="E37" s="188">
        <v>42</v>
      </c>
      <c r="F37" s="188">
        <v>42</v>
      </c>
      <c r="G37" s="281">
        <f t="shared" si="15"/>
        <v>0</v>
      </c>
      <c r="H37" s="189">
        <v>0</v>
      </c>
      <c r="I37" s="189">
        <f t="shared" si="16"/>
        <v>0</v>
      </c>
      <c r="J37" s="189">
        <v>0</v>
      </c>
      <c r="K37" s="189">
        <v>0</v>
      </c>
      <c r="L37" s="189">
        <v>0</v>
      </c>
      <c r="M37" s="189">
        <f t="shared" si="17"/>
        <v>0</v>
      </c>
      <c r="N37" s="189">
        <f t="shared" si="18"/>
        <v>0</v>
      </c>
      <c r="O37" s="189">
        <v>0</v>
      </c>
      <c r="P37" s="189">
        <f t="shared" si="19"/>
        <v>0</v>
      </c>
      <c r="Q37" s="189">
        <v>0</v>
      </c>
      <c r="R37" s="189">
        <v>0</v>
      </c>
      <c r="S37" s="189">
        <v>0</v>
      </c>
      <c r="T37" s="189">
        <f t="shared" si="20"/>
        <v>0</v>
      </c>
      <c r="U37" s="189">
        <f t="shared" si="21"/>
        <v>0</v>
      </c>
      <c r="V37" s="282">
        <f t="shared" si="22"/>
        <v>0</v>
      </c>
    </row>
    <row r="38" spans="1:22" s="283" customFormat="1" ht="12.75">
      <c r="A38" s="186"/>
      <c r="B38" s="280" t="s">
        <v>258</v>
      </c>
      <c r="C38" s="188"/>
      <c r="D38" s="188"/>
      <c r="E38" s="188">
        <v>12</v>
      </c>
      <c r="F38" s="188">
        <v>11</v>
      </c>
      <c r="G38" s="281">
        <f t="shared" si="15"/>
        <v>41.82006</v>
      </c>
      <c r="H38" s="189">
        <v>38.986</v>
      </c>
      <c r="I38" s="189">
        <f t="shared" si="16"/>
        <v>2.42</v>
      </c>
      <c r="J38" s="189">
        <v>2.42</v>
      </c>
      <c r="K38" s="189">
        <v>0</v>
      </c>
      <c r="L38" s="189">
        <v>0</v>
      </c>
      <c r="M38" s="189">
        <f t="shared" si="17"/>
        <v>0.41406</v>
      </c>
      <c r="N38" s="189">
        <f t="shared" si="18"/>
        <v>44.93086</v>
      </c>
      <c r="O38" s="189">
        <v>41.886</v>
      </c>
      <c r="P38" s="189">
        <f>+SUM(Q38:S38)</f>
        <v>2.6</v>
      </c>
      <c r="Q38" s="189">
        <v>2.6</v>
      </c>
      <c r="R38" s="189">
        <v>0</v>
      </c>
      <c r="S38" s="189">
        <v>0</v>
      </c>
      <c r="T38" s="189">
        <f>0.01*(O38+P38)</f>
        <v>0.44486000000000003</v>
      </c>
      <c r="U38" s="189">
        <f>+T38-M38</f>
        <v>0.03080000000000005</v>
      </c>
      <c r="V38" s="204">
        <f t="shared" si="22"/>
        <v>0.1848000000000003</v>
      </c>
    </row>
    <row r="39" spans="1:22" s="155" customFormat="1" ht="12.75">
      <c r="A39" s="110"/>
      <c r="B39" s="112" t="s">
        <v>159</v>
      </c>
      <c r="C39" s="112">
        <v>22</v>
      </c>
      <c r="D39" s="112">
        <v>22.293</v>
      </c>
      <c r="E39" s="112">
        <v>24</v>
      </c>
      <c r="F39" s="112">
        <v>22</v>
      </c>
      <c r="G39" s="133">
        <v>0</v>
      </c>
      <c r="H39" s="133">
        <v>84.75</v>
      </c>
      <c r="I39" s="133">
        <f t="shared" si="16"/>
        <v>6.220000000000001</v>
      </c>
      <c r="J39" s="133">
        <v>5.08</v>
      </c>
      <c r="K39" s="133">
        <v>0.78</v>
      </c>
      <c r="L39" s="133">
        <v>0.36</v>
      </c>
      <c r="M39" s="133">
        <f t="shared" si="17"/>
        <v>0.9097</v>
      </c>
      <c r="N39" s="133">
        <v>0</v>
      </c>
      <c r="O39" s="133">
        <v>91.05</v>
      </c>
      <c r="P39" s="133">
        <f>+SUM(Q39:S39)</f>
        <v>6.68</v>
      </c>
      <c r="Q39" s="133">
        <v>5.46</v>
      </c>
      <c r="R39" s="133">
        <v>0.83</v>
      </c>
      <c r="S39" s="133">
        <v>0.39</v>
      </c>
      <c r="T39" s="133">
        <f>0.01*(O39+P39)</f>
        <v>0.9773</v>
      </c>
      <c r="U39" s="133">
        <f>+T39-M39</f>
        <v>0.0676</v>
      </c>
      <c r="V39" s="174">
        <f>+U39*6</f>
        <v>0.40559999999999996</v>
      </c>
    </row>
    <row r="40" spans="1:22" s="155" customFormat="1" ht="12.75">
      <c r="A40" s="110"/>
      <c r="B40" s="112" t="s">
        <v>354</v>
      </c>
      <c r="C40" s="112"/>
      <c r="D40" s="112"/>
      <c r="E40" s="112"/>
      <c r="F40" s="112"/>
      <c r="G40" s="133"/>
      <c r="H40" s="133"/>
      <c r="I40" s="133"/>
      <c r="J40" s="133"/>
      <c r="K40" s="133"/>
      <c r="L40" s="133"/>
      <c r="M40" s="133"/>
      <c r="N40" s="133"/>
      <c r="O40" s="133"/>
      <c r="P40" s="133"/>
      <c r="Q40" s="133"/>
      <c r="R40" s="133"/>
      <c r="S40" s="133"/>
      <c r="T40" s="133"/>
      <c r="U40" s="133"/>
      <c r="V40" s="174"/>
    </row>
    <row r="41" spans="1:22" s="155" customFormat="1" ht="12" customHeight="1">
      <c r="A41" s="110" t="s">
        <v>30</v>
      </c>
      <c r="B41" s="112" t="s">
        <v>31</v>
      </c>
      <c r="C41" s="112"/>
      <c r="D41" s="112"/>
      <c r="E41" s="112"/>
      <c r="F41" s="112"/>
      <c r="G41" s="133"/>
      <c r="H41" s="133"/>
      <c r="I41" s="133"/>
      <c r="J41" s="133"/>
      <c r="K41" s="133"/>
      <c r="L41" s="133"/>
      <c r="M41" s="133"/>
      <c r="N41" s="133"/>
      <c r="O41" s="133"/>
      <c r="P41" s="133"/>
      <c r="Q41" s="133"/>
      <c r="R41" s="133"/>
      <c r="S41" s="133"/>
      <c r="T41" s="133"/>
      <c r="U41" s="133"/>
      <c r="V41" s="166"/>
    </row>
    <row r="42" spans="1:22" s="139" customFormat="1" ht="12.75">
      <c r="A42" s="100" t="s">
        <v>32</v>
      </c>
      <c r="B42" s="103" t="s">
        <v>33</v>
      </c>
      <c r="C42" s="103">
        <v>0</v>
      </c>
      <c r="D42" s="103"/>
      <c r="E42" s="103">
        <v>63</v>
      </c>
      <c r="F42" s="103">
        <v>53</v>
      </c>
      <c r="G42" s="260">
        <f>+H42+I42+M42</f>
        <v>182.11714</v>
      </c>
      <c r="H42" s="130">
        <v>177.41</v>
      </c>
      <c r="I42" s="130">
        <f>+SUM(J42:L42)</f>
        <v>2.904</v>
      </c>
      <c r="J42" s="130">
        <v>2.904</v>
      </c>
      <c r="K42" s="130">
        <v>0</v>
      </c>
      <c r="L42" s="130">
        <v>0</v>
      </c>
      <c r="M42" s="130">
        <f>0.01*(H42+I42)</f>
        <v>1.80314</v>
      </c>
      <c r="N42" s="260">
        <f>+O42+P42+T42</f>
        <v>195.66326</v>
      </c>
      <c r="O42" s="130">
        <v>190.606</v>
      </c>
      <c r="P42" s="130">
        <f>+SUM(Q42:S42)</f>
        <v>3.12</v>
      </c>
      <c r="Q42" s="130">
        <v>3.12</v>
      </c>
      <c r="R42" s="130">
        <v>0</v>
      </c>
      <c r="S42" s="130">
        <v>0</v>
      </c>
      <c r="T42" s="130">
        <f>0.01*(O42+P42)</f>
        <v>1.93726</v>
      </c>
      <c r="U42" s="130">
        <f>+T42-M42</f>
        <v>0.13412000000000002</v>
      </c>
      <c r="V42" s="234">
        <f>+U42*6</f>
        <v>0.8047200000000001</v>
      </c>
    </row>
    <row r="43" spans="1:22" s="138" customFormat="1" ht="12.75">
      <c r="A43" s="42" t="s">
        <v>34</v>
      </c>
      <c r="B43" s="24" t="s">
        <v>35</v>
      </c>
      <c r="C43" s="252">
        <f>41+14+7</f>
        <v>62</v>
      </c>
      <c r="D43" s="252">
        <f>14+13+0.758</f>
        <v>27.758</v>
      </c>
      <c r="E43" s="252">
        <f>44+18+9</f>
        <v>71</v>
      </c>
      <c r="F43" s="252">
        <f>43+14+9</f>
        <v>66</v>
      </c>
      <c r="G43" s="252">
        <f>H43+I43+M43</f>
        <v>226.85899999999998</v>
      </c>
      <c r="H43" s="252">
        <f>130+42.6+41.999</f>
        <v>214.599</v>
      </c>
      <c r="I43" s="253">
        <f>SUM(J43:L43)</f>
        <v>10.47</v>
      </c>
      <c r="J43" s="253">
        <f>4+1.57+2.783</f>
        <v>8.353</v>
      </c>
      <c r="K43" s="253">
        <f>1+0.663</f>
        <v>1.663</v>
      </c>
      <c r="L43" s="253">
        <v>0.454</v>
      </c>
      <c r="M43" s="253">
        <f>1.35+0.44</f>
        <v>1.79</v>
      </c>
      <c r="N43" s="252">
        <f>O43+P43+T43</f>
        <v>244.703</v>
      </c>
      <c r="O43" s="252">
        <f>140+45.77+45.123</f>
        <v>230.893</v>
      </c>
      <c r="P43" s="253">
        <f>SUM(Q43:S43)</f>
        <v>11.392</v>
      </c>
      <c r="Q43" s="253">
        <f>5+1.69+2.99</f>
        <v>9.68</v>
      </c>
      <c r="R43" s="253">
        <f>1+0.712</f>
        <v>1.712</v>
      </c>
      <c r="S43" s="253">
        <f>0</f>
        <v>0</v>
      </c>
      <c r="T43" s="253">
        <f>1.46+0.47+0.488</f>
        <v>2.418</v>
      </c>
      <c r="U43" s="252">
        <f>N43-G43</f>
        <v>17.844000000000023</v>
      </c>
      <c r="V43" s="252">
        <f>U43*6</f>
        <v>107.06400000000014</v>
      </c>
    </row>
    <row r="44" spans="1:22" s="136" customFormat="1" ht="12.75">
      <c r="A44" s="21"/>
      <c r="B44" s="18" t="s">
        <v>216</v>
      </c>
      <c r="C44" s="18"/>
      <c r="D44" s="18"/>
      <c r="E44" s="18"/>
      <c r="F44" s="18"/>
      <c r="G44" s="251"/>
      <c r="H44" s="245"/>
      <c r="I44" s="245"/>
      <c r="J44" s="245"/>
      <c r="K44" s="245"/>
      <c r="L44" s="245"/>
      <c r="M44" s="245"/>
      <c r="N44" s="251"/>
      <c r="O44" s="245"/>
      <c r="P44" s="245"/>
      <c r="Q44" s="245"/>
      <c r="R44" s="245"/>
      <c r="S44" s="245"/>
      <c r="T44" s="245"/>
      <c r="U44" s="245"/>
      <c r="V44" s="250"/>
    </row>
    <row r="45" spans="1:22" s="136" customFormat="1" ht="25.5">
      <c r="A45" s="21"/>
      <c r="B45" s="18" t="s">
        <v>217</v>
      </c>
      <c r="C45" s="18"/>
      <c r="D45" s="18"/>
      <c r="E45" s="18"/>
      <c r="F45" s="18"/>
      <c r="G45" s="251"/>
      <c r="H45" s="245"/>
      <c r="I45" s="245"/>
      <c r="J45" s="245"/>
      <c r="K45" s="245"/>
      <c r="L45" s="245"/>
      <c r="M45" s="245"/>
      <c r="N45" s="251"/>
      <c r="O45" s="245"/>
      <c r="P45" s="245"/>
      <c r="Q45" s="245"/>
      <c r="R45" s="245"/>
      <c r="S45" s="245"/>
      <c r="T45" s="245"/>
      <c r="U45" s="245"/>
      <c r="V45" s="250"/>
    </row>
    <row r="46" spans="1:22" s="136" customFormat="1" ht="12.75">
      <c r="A46" s="21"/>
      <c r="B46" s="18" t="s">
        <v>218</v>
      </c>
      <c r="C46" s="18"/>
      <c r="D46" s="18"/>
      <c r="E46" s="18"/>
      <c r="F46" s="18"/>
      <c r="G46" s="251"/>
      <c r="H46" s="245"/>
      <c r="I46" s="245"/>
      <c r="J46" s="245"/>
      <c r="K46" s="245"/>
      <c r="L46" s="245"/>
      <c r="M46" s="245"/>
      <c r="N46" s="251"/>
      <c r="O46" s="245"/>
      <c r="P46" s="245"/>
      <c r="Q46" s="245"/>
      <c r="R46" s="245"/>
      <c r="S46" s="245"/>
      <c r="T46" s="245"/>
      <c r="U46" s="245"/>
      <c r="V46" s="250"/>
    </row>
    <row r="47" spans="1:22" s="136" customFormat="1" ht="12.75">
      <c r="A47" s="21"/>
      <c r="B47" s="18" t="s">
        <v>219</v>
      </c>
      <c r="C47" s="18"/>
      <c r="D47" s="18"/>
      <c r="E47" s="18"/>
      <c r="F47" s="18"/>
      <c r="G47" s="251"/>
      <c r="H47" s="245"/>
      <c r="I47" s="245"/>
      <c r="J47" s="245"/>
      <c r="K47" s="245"/>
      <c r="L47" s="245"/>
      <c r="M47" s="245"/>
      <c r="N47" s="251"/>
      <c r="O47" s="245"/>
      <c r="P47" s="245"/>
      <c r="Q47" s="245"/>
      <c r="R47" s="245"/>
      <c r="S47" s="245"/>
      <c r="T47" s="245"/>
      <c r="U47" s="245"/>
      <c r="V47" s="250"/>
    </row>
    <row r="48" spans="1:22" s="136" customFormat="1" ht="12.75">
      <c r="A48" s="21"/>
      <c r="B48" s="18" t="s">
        <v>220</v>
      </c>
      <c r="C48" s="18"/>
      <c r="D48" s="18"/>
      <c r="E48" s="18"/>
      <c r="F48" s="18"/>
      <c r="G48" s="251"/>
      <c r="H48" s="245"/>
      <c r="I48" s="245"/>
      <c r="J48" s="245"/>
      <c r="K48" s="245"/>
      <c r="L48" s="245"/>
      <c r="M48" s="245"/>
      <c r="N48" s="251"/>
      <c r="O48" s="245"/>
      <c r="P48" s="245"/>
      <c r="Q48" s="245"/>
      <c r="R48" s="245"/>
      <c r="S48" s="245"/>
      <c r="T48" s="245"/>
      <c r="U48" s="245"/>
      <c r="V48" s="250"/>
    </row>
    <row r="49" spans="1:22" s="136" customFormat="1" ht="12.75">
      <c r="A49" s="21"/>
      <c r="B49" s="18" t="s">
        <v>221</v>
      </c>
      <c r="C49" s="18"/>
      <c r="D49" s="18"/>
      <c r="E49" s="18"/>
      <c r="F49" s="18"/>
      <c r="G49" s="251"/>
      <c r="H49" s="245"/>
      <c r="I49" s="245"/>
      <c r="J49" s="245"/>
      <c r="K49" s="245"/>
      <c r="L49" s="245"/>
      <c r="M49" s="245"/>
      <c r="N49" s="251"/>
      <c r="O49" s="245"/>
      <c r="P49" s="245"/>
      <c r="Q49" s="245"/>
      <c r="R49" s="245"/>
      <c r="S49" s="245"/>
      <c r="T49" s="245"/>
      <c r="U49" s="245"/>
      <c r="V49" s="250"/>
    </row>
    <row r="50" spans="1:22" s="139" customFormat="1" ht="12.75">
      <c r="A50" s="100">
        <v>8</v>
      </c>
      <c r="B50" s="103" t="s">
        <v>37</v>
      </c>
      <c r="C50" s="103"/>
      <c r="D50" s="103"/>
      <c r="E50" s="103">
        <f aca="true" t="shared" si="23" ref="E50:U50">+E51+E55+E58+E72</f>
        <v>712</v>
      </c>
      <c r="F50" s="103">
        <f t="shared" si="23"/>
        <v>643</v>
      </c>
      <c r="G50" s="130">
        <f t="shared" si="23"/>
        <v>2756.7424800000003</v>
      </c>
      <c r="H50" s="130">
        <f t="shared" si="23"/>
        <v>2503.9680000000003</v>
      </c>
      <c r="I50" s="130">
        <f t="shared" si="23"/>
        <v>225.48</v>
      </c>
      <c r="J50" s="130">
        <f t="shared" si="23"/>
        <v>54.24</v>
      </c>
      <c r="K50" s="130">
        <f t="shared" si="23"/>
        <v>103.91</v>
      </c>
      <c r="L50" s="130">
        <f t="shared" si="23"/>
        <v>67.33</v>
      </c>
      <c r="M50" s="130">
        <f t="shared" si="23"/>
        <v>27.294480000000004</v>
      </c>
      <c r="N50" s="130">
        <f t="shared" si="23"/>
        <v>3006.20137</v>
      </c>
      <c r="O50" s="130">
        <f t="shared" si="23"/>
        <v>2734.047</v>
      </c>
      <c r="P50" s="130">
        <f t="shared" si="23"/>
        <v>242.39</v>
      </c>
      <c r="Q50" s="130">
        <f t="shared" si="23"/>
        <v>58.41</v>
      </c>
      <c r="R50" s="130">
        <f t="shared" si="23"/>
        <v>111.61999999999999</v>
      </c>
      <c r="S50" s="130">
        <f t="shared" si="23"/>
        <v>72.36</v>
      </c>
      <c r="T50" s="130">
        <f t="shared" si="23"/>
        <v>29.764370000000003</v>
      </c>
      <c r="U50" s="130">
        <f t="shared" si="23"/>
        <v>2.4698899999999995</v>
      </c>
      <c r="V50" s="234">
        <f>+V51+V55+V58+V72</f>
        <v>14.819339999999993</v>
      </c>
    </row>
    <row r="51" spans="1:22" s="155" customFormat="1" ht="12.75">
      <c r="A51" s="110"/>
      <c r="B51" s="112" t="s">
        <v>115</v>
      </c>
      <c r="C51" s="112"/>
      <c r="D51" s="112"/>
      <c r="E51" s="112">
        <v>0</v>
      </c>
      <c r="F51" s="112">
        <f aca="true" t="shared" si="24" ref="F51:U51">+SUM(F52:F54)</f>
        <v>0</v>
      </c>
      <c r="G51" s="133">
        <f t="shared" si="24"/>
        <v>0</v>
      </c>
      <c r="H51" s="133">
        <f t="shared" si="24"/>
        <v>0</v>
      </c>
      <c r="I51" s="133">
        <f t="shared" si="24"/>
        <v>0</v>
      </c>
      <c r="J51" s="133">
        <f t="shared" si="24"/>
        <v>0</v>
      </c>
      <c r="K51" s="133">
        <f t="shared" si="24"/>
        <v>0</v>
      </c>
      <c r="L51" s="133">
        <f t="shared" si="24"/>
        <v>0</v>
      </c>
      <c r="M51" s="133">
        <f t="shared" si="24"/>
        <v>0</v>
      </c>
      <c r="N51" s="133">
        <f t="shared" si="24"/>
        <v>0</v>
      </c>
      <c r="O51" s="133">
        <f t="shared" si="24"/>
        <v>0</v>
      </c>
      <c r="P51" s="133">
        <f t="shared" si="24"/>
        <v>0</v>
      </c>
      <c r="Q51" s="133">
        <f t="shared" si="24"/>
        <v>0</v>
      </c>
      <c r="R51" s="133">
        <f t="shared" si="24"/>
        <v>0</v>
      </c>
      <c r="S51" s="133">
        <f t="shared" si="24"/>
        <v>0</v>
      </c>
      <c r="T51" s="133">
        <f t="shared" si="24"/>
        <v>0</v>
      </c>
      <c r="U51" s="133">
        <f t="shared" si="24"/>
        <v>0</v>
      </c>
      <c r="V51" s="166">
        <f>+SUM(V52:V54)</f>
        <v>0</v>
      </c>
    </row>
    <row r="52" spans="1:22" s="155" customFormat="1" ht="12.75">
      <c r="A52" s="110"/>
      <c r="B52" s="112" t="str">
        <f>'2c moi'!B53</f>
        <v>- Trung tâm Quản lý điều hành vận tải HKCC</v>
      </c>
      <c r="C52" s="112"/>
      <c r="D52" s="112"/>
      <c r="E52" s="112">
        <v>0</v>
      </c>
      <c r="F52" s="112">
        <v>0</v>
      </c>
      <c r="G52" s="104">
        <f>+H52+I52+M52</f>
        <v>0</v>
      </c>
      <c r="H52" s="113">
        <v>0</v>
      </c>
      <c r="I52" s="113">
        <f>+SUM(J52:L52)</f>
        <v>0</v>
      </c>
      <c r="J52" s="113">
        <v>0</v>
      </c>
      <c r="K52" s="113">
        <v>0</v>
      </c>
      <c r="L52" s="113">
        <v>0</v>
      </c>
      <c r="M52" s="113">
        <f>0.01*(H52+I52)</f>
        <v>0</v>
      </c>
      <c r="N52" s="104">
        <f>+O52+P52+T52</f>
        <v>0</v>
      </c>
      <c r="O52" s="113">
        <v>0</v>
      </c>
      <c r="P52" s="113">
        <f>+SUM(Q52:S52)</f>
        <v>0</v>
      </c>
      <c r="Q52" s="113">
        <v>0</v>
      </c>
      <c r="R52" s="113">
        <v>0</v>
      </c>
      <c r="S52" s="113">
        <v>0</v>
      </c>
      <c r="T52" s="113">
        <f>0.01*(O52+P52)</f>
        <v>0</v>
      </c>
      <c r="U52" s="113">
        <f>+T52-M52</f>
        <v>0</v>
      </c>
      <c r="V52" s="151">
        <f>+U52*8</f>
        <v>0</v>
      </c>
    </row>
    <row r="53" spans="1:22" s="155" customFormat="1" ht="12.75">
      <c r="A53" s="110"/>
      <c r="B53" s="112" t="s">
        <v>247</v>
      </c>
      <c r="C53" s="112"/>
      <c r="D53" s="112"/>
      <c r="E53" s="112">
        <v>0</v>
      </c>
      <c r="F53" s="112">
        <v>0</v>
      </c>
      <c r="G53" s="104">
        <f>+H53+I53+M53</f>
        <v>0</v>
      </c>
      <c r="H53" s="113">
        <v>0</v>
      </c>
      <c r="I53" s="113">
        <f>+SUM(J53:L53)</f>
        <v>0</v>
      </c>
      <c r="J53" s="113">
        <v>0</v>
      </c>
      <c r="K53" s="113">
        <v>0</v>
      </c>
      <c r="L53" s="113">
        <v>0</v>
      </c>
      <c r="M53" s="113">
        <f>0.01*(H53+I53)</f>
        <v>0</v>
      </c>
      <c r="N53" s="104">
        <f>+O53+P53+T53</f>
        <v>0</v>
      </c>
      <c r="O53" s="113">
        <v>0</v>
      </c>
      <c r="P53" s="113">
        <f>+SUM(Q53:S53)</f>
        <v>0</v>
      </c>
      <c r="Q53" s="113">
        <v>0</v>
      </c>
      <c r="R53" s="113">
        <v>0</v>
      </c>
      <c r="S53" s="113">
        <v>0</v>
      </c>
      <c r="T53" s="113">
        <f>0.01*(O53+P53)</f>
        <v>0</v>
      </c>
      <c r="U53" s="113">
        <f>+T53-M53</f>
        <v>0</v>
      </c>
      <c r="V53" s="151">
        <f>+U53*8</f>
        <v>0</v>
      </c>
    </row>
    <row r="54" spans="1:22" s="155" customFormat="1" ht="12.75">
      <c r="A54" s="110"/>
      <c r="B54" s="112" t="str">
        <f>'2c moi'!B55</f>
        <v>- Khu quản lý ĐBĐT</v>
      </c>
      <c r="C54" s="112"/>
      <c r="D54" s="112"/>
      <c r="E54" s="112">
        <v>0</v>
      </c>
      <c r="F54" s="112">
        <v>0</v>
      </c>
      <c r="G54" s="104">
        <f>+H54+I54+M54</f>
        <v>0</v>
      </c>
      <c r="H54" s="113">
        <v>0</v>
      </c>
      <c r="I54" s="113">
        <f>+SUM(J54:L54)</f>
        <v>0</v>
      </c>
      <c r="J54" s="113">
        <v>0</v>
      </c>
      <c r="K54" s="113">
        <v>0</v>
      </c>
      <c r="L54" s="113">
        <v>0</v>
      </c>
      <c r="M54" s="113">
        <f>0.01*(H54+I54)</f>
        <v>0</v>
      </c>
      <c r="N54" s="104">
        <f>+O54+P54+T54</f>
        <v>0</v>
      </c>
      <c r="O54" s="113">
        <v>0</v>
      </c>
      <c r="P54" s="113">
        <f>+SUM(Q54:S54)</f>
        <v>0</v>
      </c>
      <c r="Q54" s="113">
        <v>0</v>
      </c>
      <c r="R54" s="113">
        <v>0</v>
      </c>
      <c r="S54" s="113">
        <v>0</v>
      </c>
      <c r="T54" s="113">
        <f>0.01*(O54+P54)</f>
        <v>0</v>
      </c>
      <c r="U54" s="113">
        <f>+T54-M54</f>
        <v>0</v>
      </c>
      <c r="V54" s="151">
        <f>+U54*8</f>
        <v>0</v>
      </c>
    </row>
    <row r="55" spans="1:22" s="167" customFormat="1" ht="12.75">
      <c r="A55" s="100"/>
      <c r="B55" s="103" t="s">
        <v>236</v>
      </c>
      <c r="C55" s="103">
        <f>SUM(C56:C57)</f>
        <v>30</v>
      </c>
      <c r="D55" s="103">
        <f aca="true" t="shared" si="25" ref="D55:V55">SUM(D56:D57)</f>
        <v>0</v>
      </c>
      <c r="E55" s="103">
        <f t="shared" si="25"/>
        <v>33</v>
      </c>
      <c r="F55" s="103">
        <f t="shared" si="25"/>
        <v>30</v>
      </c>
      <c r="G55" s="103">
        <f t="shared" si="25"/>
        <v>131.61108</v>
      </c>
      <c r="H55" s="103">
        <f t="shared" si="25"/>
        <v>124.578</v>
      </c>
      <c r="I55" s="103">
        <f t="shared" si="25"/>
        <v>5.73</v>
      </c>
      <c r="J55" s="103">
        <f t="shared" si="25"/>
        <v>4.82</v>
      </c>
      <c r="K55" s="103">
        <f t="shared" si="25"/>
        <v>0.91</v>
      </c>
      <c r="L55" s="103">
        <f t="shared" si="25"/>
        <v>0</v>
      </c>
      <c r="M55" s="161">
        <f t="shared" si="25"/>
        <v>1.30308</v>
      </c>
      <c r="N55" s="161">
        <f t="shared" si="25"/>
        <v>147.99227000000002</v>
      </c>
      <c r="O55" s="161">
        <f t="shared" si="25"/>
        <v>140.21699999999998</v>
      </c>
      <c r="P55" s="161">
        <f t="shared" si="25"/>
        <v>6.3100000000000005</v>
      </c>
      <c r="Q55" s="161">
        <f t="shared" si="25"/>
        <v>5.33</v>
      </c>
      <c r="R55" s="161">
        <f t="shared" si="25"/>
        <v>0.98</v>
      </c>
      <c r="S55" s="161">
        <f t="shared" si="25"/>
        <v>0</v>
      </c>
      <c r="T55" s="161">
        <f t="shared" si="25"/>
        <v>1.46527</v>
      </c>
      <c r="U55" s="161">
        <f t="shared" si="25"/>
        <v>0.16219000000000017</v>
      </c>
      <c r="V55" s="161">
        <f t="shared" si="25"/>
        <v>0.973140000000001</v>
      </c>
    </row>
    <row r="56" spans="1:22" s="155" customFormat="1" ht="12.75">
      <c r="A56" s="110"/>
      <c r="B56" s="163" t="s">
        <v>184</v>
      </c>
      <c r="C56" s="112">
        <v>15</v>
      </c>
      <c r="D56" s="112"/>
      <c r="E56" s="112">
        <v>16</v>
      </c>
      <c r="F56" s="112">
        <v>15</v>
      </c>
      <c r="G56" s="104">
        <f>+H56+I56+M56</f>
        <v>61.31508</v>
      </c>
      <c r="H56" s="113">
        <v>57.948</v>
      </c>
      <c r="I56" s="113">
        <f>+SUM(J56:L56)</f>
        <v>2.76</v>
      </c>
      <c r="J56" s="113">
        <v>2.76</v>
      </c>
      <c r="K56" s="113">
        <v>0</v>
      </c>
      <c r="L56" s="113">
        <v>0</v>
      </c>
      <c r="M56" s="113">
        <f>0.01*(H56+I56)</f>
        <v>0.60708</v>
      </c>
      <c r="N56" s="104">
        <f>+O56+P56+T56</f>
        <v>72.46447</v>
      </c>
      <c r="O56" s="113">
        <v>68.627</v>
      </c>
      <c r="P56" s="113">
        <f>+SUM(Q56:S56)</f>
        <v>3.12</v>
      </c>
      <c r="Q56" s="113">
        <v>3.12</v>
      </c>
      <c r="R56" s="113">
        <v>0</v>
      </c>
      <c r="S56" s="113">
        <v>0</v>
      </c>
      <c r="T56" s="113">
        <f>0.01*(O56+P56)</f>
        <v>0.71747</v>
      </c>
      <c r="U56" s="113">
        <f>+T56-M56</f>
        <v>0.1103900000000001</v>
      </c>
      <c r="V56" s="208">
        <f>+U56*6</f>
        <v>0.6623400000000006</v>
      </c>
    </row>
    <row r="57" spans="1:22" s="155" customFormat="1" ht="12.75">
      <c r="A57" s="110"/>
      <c r="B57" s="163" t="s">
        <v>185</v>
      </c>
      <c r="C57" s="112">
        <v>15</v>
      </c>
      <c r="D57" s="112">
        <v>0</v>
      </c>
      <c r="E57" s="112">
        <v>17</v>
      </c>
      <c r="F57" s="112">
        <v>15</v>
      </c>
      <c r="G57" s="104">
        <f>+H57+I57+M57</f>
        <v>70.29599999999999</v>
      </c>
      <c r="H57" s="113">
        <v>66.63</v>
      </c>
      <c r="I57" s="113">
        <f>+SUM(J57:L57)</f>
        <v>2.97</v>
      </c>
      <c r="J57" s="113">
        <v>2.06</v>
      </c>
      <c r="K57" s="113">
        <v>0.91</v>
      </c>
      <c r="L57" s="113">
        <v>0</v>
      </c>
      <c r="M57" s="113">
        <f>0.01*(H57+I57)</f>
        <v>0.696</v>
      </c>
      <c r="N57" s="104">
        <f>+O57+P57+T57</f>
        <v>75.5278</v>
      </c>
      <c r="O57" s="113">
        <v>71.59</v>
      </c>
      <c r="P57" s="113">
        <f>+SUM(Q57:S57)</f>
        <v>3.19</v>
      </c>
      <c r="Q57" s="113">
        <v>2.21</v>
      </c>
      <c r="R57" s="113">
        <v>0.98</v>
      </c>
      <c r="S57" s="113">
        <v>0</v>
      </c>
      <c r="T57" s="113">
        <f>0.01*(O57+P57)</f>
        <v>0.7478</v>
      </c>
      <c r="U57" s="113">
        <f>+T57-M57</f>
        <v>0.05180000000000007</v>
      </c>
      <c r="V57" s="208">
        <f>+U57*6</f>
        <v>0.3108000000000004</v>
      </c>
    </row>
    <row r="58" spans="1:22" s="167" customFormat="1" ht="12.75">
      <c r="A58" s="100"/>
      <c r="B58" s="103" t="s">
        <v>353</v>
      </c>
      <c r="C58" s="103"/>
      <c r="D58" s="103"/>
      <c r="E58" s="103">
        <f>E59+E71</f>
        <v>679</v>
      </c>
      <c r="F58" s="103">
        <f aca="true" t="shared" si="26" ref="F58:U58">F59+F71</f>
        <v>613</v>
      </c>
      <c r="G58" s="103">
        <f t="shared" si="26"/>
        <v>2625.1314</v>
      </c>
      <c r="H58" s="103">
        <f t="shared" si="26"/>
        <v>2379.3900000000003</v>
      </c>
      <c r="I58" s="103">
        <f t="shared" si="26"/>
        <v>219.75</v>
      </c>
      <c r="J58" s="103">
        <f t="shared" si="26"/>
        <v>49.42</v>
      </c>
      <c r="K58" s="103">
        <f t="shared" si="26"/>
        <v>103</v>
      </c>
      <c r="L58" s="103">
        <f t="shared" si="26"/>
        <v>67.33</v>
      </c>
      <c r="M58" s="103">
        <f t="shared" si="26"/>
        <v>25.991400000000002</v>
      </c>
      <c r="N58" s="235">
        <f>N59+N71</f>
        <v>2858.2091</v>
      </c>
      <c r="O58" s="103">
        <f t="shared" si="26"/>
        <v>2593.83</v>
      </c>
      <c r="P58" s="103">
        <f t="shared" si="26"/>
        <v>236.07999999999998</v>
      </c>
      <c r="Q58" s="103">
        <f t="shared" si="26"/>
        <v>53.08</v>
      </c>
      <c r="R58" s="103">
        <f t="shared" si="26"/>
        <v>110.63999999999999</v>
      </c>
      <c r="S58" s="103">
        <f t="shared" si="26"/>
        <v>72.36</v>
      </c>
      <c r="T58" s="103">
        <f t="shared" si="26"/>
        <v>28.299100000000003</v>
      </c>
      <c r="U58" s="103">
        <f t="shared" si="26"/>
        <v>2.307699999999999</v>
      </c>
      <c r="V58" s="161">
        <f>V59+V71</f>
        <v>13.846199999999993</v>
      </c>
    </row>
    <row r="59" spans="1:22" s="209" customFormat="1" ht="12.75">
      <c r="A59" s="205"/>
      <c r="B59" s="172" t="s">
        <v>352</v>
      </c>
      <c r="C59" s="172"/>
      <c r="D59" s="172"/>
      <c r="E59" s="172">
        <f>E60+E65</f>
        <v>349</v>
      </c>
      <c r="F59" s="172">
        <f aca="true" t="shared" si="27" ref="F59:V59">F60+F65</f>
        <v>337</v>
      </c>
      <c r="G59" s="172">
        <f t="shared" si="27"/>
        <v>1382.7304</v>
      </c>
      <c r="H59" s="172">
        <f t="shared" si="27"/>
        <v>1283.46</v>
      </c>
      <c r="I59" s="172">
        <f t="shared" si="27"/>
        <v>85.58</v>
      </c>
      <c r="J59" s="172">
        <f t="shared" si="27"/>
        <v>28.31</v>
      </c>
      <c r="K59" s="172">
        <f t="shared" si="27"/>
        <v>57.04</v>
      </c>
      <c r="L59" s="172">
        <f t="shared" si="27"/>
        <v>0.23</v>
      </c>
      <c r="M59" s="172">
        <f t="shared" si="27"/>
        <v>13.6904</v>
      </c>
      <c r="N59" s="172">
        <f t="shared" si="27"/>
        <v>1523.3829999999998</v>
      </c>
      <c r="O59" s="172">
        <f t="shared" si="27"/>
        <v>1416.3799999999999</v>
      </c>
      <c r="P59" s="172">
        <f t="shared" si="27"/>
        <v>91.92</v>
      </c>
      <c r="Q59" s="172">
        <f t="shared" si="27"/>
        <v>30.39</v>
      </c>
      <c r="R59" s="172">
        <f t="shared" si="27"/>
        <v>61.269999999999996</v>
      </c>
      <c r="S59" s="172">
        <f t="shared" si="27"/>
        <v>0.26</v>
      </c>
      <c r="T59" s="172">
        <f t="shared" si="27"/>
        <v>15.083</v>
      </c>
      <c r="U59" s="172">
        <f t="shared" si="27"/>
        <v>1.3926000000000003</v>
      </c>
      <c r="V59" s="174">
        <f t="shared" si="27"/>
        <v>8.355599999999999</v>
      </c>
    </row>
    <row r="60" spans="1:22" s="155" customFormat="1" ht="12.75">
      <c r="A60" s="110"/>
      <c r="B60" s="159" t="s">
        <v>265</v>
      </c>
      <c r="C60" s="112"/>
      <c r="D60" s="112"/>
      <c r="E60" s="112">
        <f>+SUM(E61:E64)</f>
        <v>117</v>
      </c>
      <c r="F60" s="112">
        <f aca="true" t="shared" si="28" ref="F60:U60">+SUM(F61:F64)</f>
        <v>110</v>
      </c>
      <c r="G60" s="113">
        <f>+H60+I60+M60</f>
        <v>463.51929999999993</v>
      </c>
      <c r="H60" s="113">
        <f t="shared" si="28"/>
        <v>438.15999999999997</v>
      </c>
      <c r="I60" s="113">
        <f>+SUM(I61:I64)</f>
        <v>20.77</v>
      </c>
      <c r="J60" s="113">
        <f t="shared" si="28"/>
        <v>12.7</v>
      </c>
      <c r="K60" s="113">
        <f t="shared" si="28"/>
        <v>7.840000000000001</v>
      </c>
      <c r="L60" s="113">
        <f t="shared" si="28"/>
        <v>0.23</v>
      </c>
      <c r="M60" s="113">
        <f t="shared" si="28"/>
        <v>4.589300000000001</v>
      </c>
      <c r="N60" s="113">
        <f>+SUM(N61:N64)</f>
        <v>535.7949</v>
      </c>
      <c r="O60" s="113">
        <f>+SUM(O61:O64)</f>
        <v>508.2</v>
      </c>
      <c r="P60" s="113">
        <f t="shared" si="28"/>
        <v>22.290000000000003</v>
      </c>
      <c r="Q60" s="113">
        <f t="shared" si="28"/>
        <v>13.62</v>
      </c>
      <c r="R60" s="113">
        <f t="shared" si="28"/>
        <v>8.41</v>
      </c>
      <c r="S60" s="113">
        <f t="shared" si="28"/>
        <v>0.26</v>
      </c>
      <c r="T60" s="113">
        <f t="shared" si="28"/>
        <v>5.3049</v>
      </c>
      <c r="U60" s="160">
        <f t="shared" si="28"/>
        <v>0.7155999999999996</v>
      </c>
      <c r="V60" s="208">
        <f>+SUM(V61:V64)</f>
        <v>4.293599999999997</v>
      </c>
    </row>
    <row r="61" spans="1:22" s="155" customFormat="1" ht="12.75">
      <c r="A61" s="110"/>
      <c r="B61" s="141" t="s">
        <v>268</v>
      </c>
      <c r="C61" s="112">
        <v>0</v>
      </c>
      <c r="D61" s="112">
        <v>0</v>
      </c>
      <c r="E61" s="112">
        <v>34</v>
      </c>
      <c r="F61" s="112">
        <v>32</v>
      </c>
      <c r="G61" s="113">
        <f>+H61+I61+M61</f>
        <v>152.8534</v>
      </c>
      <c r="H61" s="113">
        <v>145.4</v>
      </c>
      <c r="I61" s="113">
        <f>SUM(J61:L61)</f>
        <v>5.9399999999999995</v>
      </c>
      <c r="J61" s="113">
        <v>3.63</v>
      </c>
      <c r="K61" s="113">
        <v>2.31</v>
      </c>
      <c r="L61" s="113">
        <v>0</v>
      </c>
      <c r="M61" s="113">
        <f>0.01*(H61+I61)</f>
        <v>1.5134</v>
      </c>
      <c r="N61" s="104">
        <f>+O61+P61+T61</f>
        <v>164.731</v>
      </c>
      <c r="O61" s="113">
        <v>156.73</v>
      </c>
      <c r="P61" s="113">
        <f aca="true" t="shared" si="29" ref="P61:P69">+SUM(Q61:S61)</f>
        <v>6.37</v>
      </c>
      <c r="Q61" s="113">
        <v>3.9</v>
      </c>
      <c r="R61" s="113">
        <v>2.47</v>
      </c>
      <c r="S61" s="113">
        <v>0</v>
      </c>
      <c r="T61" s="113">
        <f aca="true" t="shared" si="30" ref="T61:T71">0.01*(O61+P61)</f>
        <v>1.631</v>
      </c>
      <c r="U61" s="160">
        <f aca="true" t="shared" si="31" ref="U61:U71">+T61-M61</f>
        <v>0.11759999999999993</v>
      </c>
      <c r="V61" s="208">
        <f>+U61*6</f>
        <v>0.7055999999999996</v>
      </c>
    </row>
    <row r="62" spans="1:22" s="155" customFormat="1" ht="12.75">
      <c r="A62" s="110"/>
      <c r="B62" s="141" t="s">
        <v>269</v>
      </c>
      <c r="C62" s="112"/>
      <c r="D62" s="112"/>
      <c r="E62" s="112">
        <v>10</v>
      </c>
      <c r="F62" s="112">
        <v>10</v>
      </c>
      <c r="G62" s="113">
        <f>+H62+I62+M62</f>
        <v>2.2017999999999995</v>
      </c>
      <c r="H62" s="113">
        <v>1.45</v>
      </c>
      <c r="I62" s="113">
        <f>SUM(J62:L62)</f>
        <v>0.73</v>
      </c>
      <c r="J62" s="113">
        <v>0.73</v>
      </c>
      <c r="K62" s="113">
        <v>0</v>
      </c>
      <c r="L62" s="113">
        <v>0</v>
      </c>
      <c r="M62" s="160">
        <f>0.01*(H62+I62)</f>
        <v>0.021799999999999996</v>
      </c>
      <c r="N62" s="104">
        <f>+O62+P62+T62</f>
        <v>38.511300000000006</v>
      </c>
      <c r="O62" s="113">
        <v>37.35</v>
      </c>
      <c r="P62" s="113">
        <f t="shared" si="29"/>
        <v>0.78</v>
      </c>
      <c r="Q62" s="113">
        <v>0.78</v>
      </c>
      <c r="R62" s="113">
        <v>0</v>
      </c>
      <c r="S62" s="113">
        <v>0</v>
      </c>
      <c r="T62" s="113">
        <f t="shared" si="30"/>
        <v>0.38130000000000003</v>
      </c>
      <c r="U62" s="160">
        <f t="shared" si="31"/>
        <v>0.35950000000000004</v>
      </c>
      <c r="V62" s="208">
        <f>+U62*6</f>
        <v>2.157</v>
      </c>
    </row>
    <row r="63" spans="1:22" s="155" customFormat="1" ht="12.75">
      <c r="A63" s="110"/>
      <c r="B63" s="141" t="s">
        <v>270</v>
      </c>
      <c r="C63" s="112"/>
      <c r="D63" s="112"/>
      <c r="E63" s="112">
        <v>56</v>
      </c>
      <c r="F63" s="112">
        <v>52</v>
      </c>
      <c r="G63" s="113">
        <f>+H63+I63+M63</f>
        <v>247.2581</v>
      </c>
      <c r="H63" s="113">
        <v>233.32</v>
      </c>
      <c r="I63" s="113">
        <f>SUM(J63:L63)</f>
        <v>11.49</v>
      </c>
      <c r="J63" s="113">
        <v>6.52</v>
      </c>
      <c r="K63" s="113">
        <v>4.74</v>
      </c>
      <c r="L63" s="113">
        <v>0.23</v>
      </c>
      <c r="M63" s="113">
        <f>0.01*(H63+I63)</f>
        <v>2.4481</v>
      </c>
      <c r="N63" s="104">
        <f>+O63+P63+T63</f>
        <v>266.7915</v>
      </c>
      <c r="O63" s="113">
        <v>251.81</v>
      </c>
      <c r="P63" s="113">
        <f t="shared" si="29"/>
        <v>12.34</v>
      </c>
      <c r="Q63" s="113">
        <v>6.99</v>
      </c>
      <c r="R63" s="113">
        <v>5.09</v>
      </c>
      <c r="S63" s="113">
        <v>0.26</v>
      </c>
      <c r="T63" s="113">
        <f t="shared" si="30"/>
        <v>2.6414999999999997</v>
      </c>
      <c r="U63" s="160">
        <f t="shared" si="31"/>
        <v>0.19339999999999957</v>
      </c>
      <c r="V63" s="208">
        <f>+U63*6</f>
        <v>1.1603999999999974</v>
      </c>
    </row>
    <row r="64" spans="1:22" s="155" customFormat="1" ht="12.75">
      <c r="A64" s="110"/>
      <c r="B64" s="141" t="s">
        <v>267</v>
      </c>
      <c r="C64" s="112"/>
      <c r="D64" s="112"/>
      <c r="E64" s="112">
        <v>17</v>
      </c>
      <c r="F64" s="112">
        <v>16</v>
      </c>
      <c r="G64" s="113">
        <f>+H64+I64+M64</f>
        <v>61.206</v>
      </c>
      <c r="H64" s="113">
        <v>57.99</v>
      </c>
      <c r="I64" s="113">
        <f>SUM(J64:L64)</f>
        <v>2.6100000000000003</v>
      </c>
      <c r="J64" s="113">
        <v>1.82</v>
      </c>
      <c r="K64" s="113">
        <v>0.79</v>
      </c>
      <c r="L64" s="113">
        <v>0</v>
      </c>
      <c r="M64" s="113">
        <f>0.01*(H64+I64)</f>
        <v>0.606</v>
      </c>
      <c r="N64" s="104">
        <f>+O64+P64+T64</f>
        <v>65.7611</v>
      </c>
      <c r="O64" s="113">
        <v>62.31</v>
      </c>
      <c r="P64" s="113">
        <f t="shared" si="29"/>
        <v>2.8</v>
      </c>
      <c r="Q64" s="113">
        <v>1.95</v>
      </c>
      <c r="R64" s="113">
        <v>0.85</v>
      </c>
      <c r="S64" s="113">
        <v>0</v>
      </c>
      <c r="T64" s="113">
        <f t="shared" si="30"/>
        <v>0.6511</v>
      </c>
      <c r="U64" s="160">
        <f t="shared" si="31"/>
        <v>0.04510000000000003</v>
      </c>
      <c r="V64" s="208">
        <f>+U64*6</f>
        <v>0.2706000000000002</v>
      </c>
    </row>
    <row r="65" spans="1:22" s="155" customFormat="1" ht="12.75">
      <c r="A65" s="110"/>
      <c r="B65" s="159" t="s">
        <v>266</v>
      </c>
      <c r="C65" s="112"/>
      <c r="D65" s="112"/>
      <c r="E65" s="112">
        <f>+SUM(E66:E70)</f>
        <v>232</v>
      </c>
      <c r="F65" s="112">
        <f aca="true" t="shared" si="32" ref="F65:V65">+SUM(F66:F70)</f>
        <v>227</v>
      </c>
      <c r="G65" s="113">
        <f t="shared" si="32"/>
        <v>919.2111</v>
      </c>
      <c r="H65" s="113">
        <f t="shared" si="32"/>
        <v>845.3</v>
      </c>
      <c r="I65" s="113">
        <f t="shared" si="32"/>
        <v>64.81</v>
      </c>
      <c r="J65" s="113">
        <f t="shared" si="32"/>
        <v>15.61</v>
      </c>
      <c r="K65" s="113">
        <f t="shared" si="32"/>
        <v>49.199999999999996</v>
      </c>
      <c r="L65" s="113">
        <f t="shared" si="32"/>
        <v>0</v>
      </c>
      <c r="M65" s="113">
        <f t="shared" si="32"/>
        <v>9.101099999999999</v>
      </c>
      <c r="N65" s="113">
        <f t="shared" si="32"/>
        <v>987.5880999999999</v>
      </c>
      <c r="O65" s="113">
        <f t="shared" si="32"/>
        <v>908.1799999999998</v>
      </c>
      <c r="P65" s="113">
        <f t="shared" si="32"/>
        <v>69.63</v>
      </c>
      <c r="Q65" s="113">
        <f t="shared" si="32"/>
        <v>16.770000000000003</v>
      </c>
      <c r="R65" s="113">
        <f t="shared" si="32"/>
        <v>52.86</v>
      </c>
      <c r="S65" s="113">
        <f t="shared" si="32"/>
        <v>0</v>
      </c>
      <c r="T65" s="113">
        <f t="shared" si="32"/>
        <v>9.7781</v>
      </c>
      <c r="U65" s="160">
        <f t="shared" si="32"/>
        <v>0.6770000000000006</v>
      </c>
      <c r="V65" s="151">
        <f t="shared" si="32"/>
        <v>4.062000000000003</v>
      </c>
    </row>
    <row r="66" spans="1:22" s="155" customFormat="1" ht="12.75">
      <c r="A66" s="110"/>
      <c r="B66" s="141" t="s">
        <v>271</v>
      </c>
      <c r="C66" s="112"/>
      <c r="D66" s="112"/>
      <c r="E66" s="112">
        <v>55</v>
      </c>
      <c r="F66" s="112">
        <v>54</v>
      </c>
      <c r="G66" s="104">
        <f aca="true" t="shared" si="33" ref="G66:G71">+H66+I66+M66</f>
        <v>224.3513</v>
      </c>
      <c r="H66" s="113">
        <v>205.57</v>
      </c>
      <c r="I66" s="113">
        <f aca="true" t="shared" si="34" ref="I66:I71">SUM(J66:L66)</f>
        <v>16.56</v>
      </c>
      <c r="J66" s="113">
        <v>3.39</v>
      </c>
      <c r="K66" s="113">
        <v>13.17</v>
      </c>
      <c r="L66" s="113">
        <v>0</v>
      </c>
      <c r="M66" s="113">
        <f aca="true" t="shared" si="35" ref="M66:M71">0.01*(H66+I66)</f>
        <v>2.2213</v>
      </c>
      <c r="N66" s="104">
        <f aca="true" t="shared" si="36" ref="N66:N71">+O66+P66+T66</f>
        <v>241.03650000000002</v>
      </c>
      <c r="O66" s="113">
        <v>220.86</v>
      </c>
      <c r="P66" s="113">
        <f t="shared" si="29"/>
        <v>17.79</v>
      </c>
      <c r="Q66" s="113">
        <v>3.64</v>
      </c>
      <c r="R66" s="113">
        <v>14.15</v>
      </c>
      <c r="S66" s="113">
        <v>0</v>
      </c>
      <c r="T66" s="113">
        <f t="shared" si="30"/>
        <v>2.3865000000000003</v>
      </c>
      <c r="U66" s="160">
        <f t="shared" si="31"/>
        <v>0.16520000000000046</v>
      </c>
      <c r="V66" s="151">
        <f aca="true" t="shared" si="37" ref="V66:V71">+U66*6</f>
        <v>0.9912000000000027</v>
      </c>
    </row>
    <row r="67" spans="1:22" s="155" customFormat="1" ht="12.75">
      <c r="A67" s="110"/>
      <c r="B67" s="141" t="s">
        <v>272</v>
      </c>
      <c r="C67" s="112"/>
      <c r="D67" s="112"/>
      <c r="E67" s="112">
        <v>30</v>
      </c>
      <c r="F67" s="112">
        <v>29</v>
      </c>
      <c r="G67" s="104">
        <f t="shared" si="33"/>
        <v>120.57379999999999</v>
      </c>
      <c r="H67" s="113">
        <v>116.31</v>
      </c>
      <c r="I67" s="113">
        <f t="shared" si="34"/>
        <v>3.0700000000000003</v>
      </c>
      <c r="J67" s="113">
        <v>1.21</v>
      </c>
      <c r="K67" s="113">
        <v>1.86</v>
      </c>
      <c r="L67" s="113">
        <v>0</v>
      </c>
      <c r="M67" s="113">
        <f t="shared" si="35"/>
        <v>1.1938</v>
      </c>
      <c r="N67" s="104">
        <f t="shared" si="36"/>
        <v>129.5426</v>
      </c>
      <c r="O67" s="113">
        <v>124.96</v>
      </c>
      <c r="P67" s="113">
        <f t="shared" si="29"/>
        <v>3.3</v>
      </c>
      <c r="Q67" s="113">
        <v>1.3</v>
      </c>
      <c r="R67" s="113">
        <v>2</v>
      </c>
      <c r="S67" s="113">
        <v>0</v>
      </c>
      <c r="T67" s="113">
        <f t="shared" si="30"/>
        <v>1.2826</v>
      </c>
      <c r="U67" s="160">
        <f t="shared" si="31"/>
        <v>0.08879999999999999</v>
      </c>
      <c r="V67" s="151">
        <f t="shared" si="37"/>
        <v>0.5327999999999999</v>
      </c>
    </row>
    <row r="68" spans="1:22" s="155" customFormat="1" ht="12.75">
      <c r="A68" s="110"/>
      <c r="B68" s="141" t="s">
        <v>273</v>
      </c>
      <c r="C68" s="112"/>
      <c r="D68" s="112"/>
      <c r="E68" s="112">
        <v>82</v>
      </c>
      <c r="F68" s="112">
        <v>81</v>
      </c>
      <c r="G68" s="104">
        <f t="shared" si="33"/>
        <v>366.66029999999995</v>
      </c>
      <c r="H68" s="113">
        <v>336.5</v>
      </c>
      <c r="I68" s="113">
        <f t="shared" si="34"/>
        <v>26.53</v>
      </c>
      <c r="J68" s="113">
        <v>3.51</v>
      </c>
      <c r="K68" s="113">
        <v>23.02</v>
      </c>
      <c r="L68" s="113">
        <v>0</v>
      </c>
      <c r="M68" s="113">
        <f t="shared" si="35"/>
        <v>3.6302999999999996</v>
      </c>
      <c r="N68" s="104">
        <f t="shared" si="36"/>
        <v>393.9303</v>
      </c>
      <c r="O68" s="113">
        <v>361.53</v>
      </c>
      <c r="P68" s="113">
        <f t="shared" si="29"/>
        <v>28.5</v>
      </c>
      <c r="Q68" s="113">
        <v>3.77</v>
      </c>
      <c r="R68" s="113">
        <v>24.73</v>
      </c>
      <c r="S68" s="113">
        <v>0</v>
      </c>
      <c r="T68" s="113">
        <f t="shared" si="30"/>
        <v>3.9002999999999997</v>
      </c>
      <c r="U68" s="160">
        <f t="shared" si="31"/>
        <v>0.27</v>
      </c>
      <c r="V68" s="151">
        <f t="shared" si="37"/>
        <v>1.62</v>
      </c>
    </row>
    <row r="69" spans="1:22" s="155" customFormat="1" ht="12.75">
      <c r="A69" s="110"/>
      <c r="B69" s="141" t="s">
        <v>274</v>
      </c>
      <c r="C69" s="112"/>
      <c r="D69" s="112"/>
      <c r="E69" s="112">
        <v>48</v>
      </c>
      <c r="F69" s="112">
        <v>46</v>
      </c>
      <c r="G69" s="104">
        <f t="shared" si="33"/>
        <v>206.8682</v>
      </c>
      <c r="H69" s="113">
        <v>186.17</v>
      </c>
      <c r="I69" s="113">
        <f t="shared" si="34"/>
        <v>18.65</v>
      </c>
      <c r="J69" s="113">
        <v>7.5</v>
      </c>
      <c r="K69" s="113">
        <v>11.15</v>
      </c>
      <c r="L69" s="113">
        <v>0</v>
      </c>
      <c r="M69" s="113">
        <f t="shared" si="35"/>
        <v>2.0482</v>
      </c>
      <c r="N69" s="104">
        <f t="shared" si="36"/>
        <v>222.2606</v>
      </c>
      <c r="O69" s="113">
        <v>200.02</v>
      </c>
      <c r="P69" s="113">
        <f t="shared" si="29"/>
        <v>20.04</v>
      </c>
      <c r="Q69" s="113">
        <v>8.06</v>
      </c>
      <c r="R69" s="113">
        <v>11.98</v>
      </c>
      <c r="S69" s="113">
        <v>0</v>
      </c>
      <c r="T69" s="113">
        <f t="shared" si="30"/>
        <v>2.2006</v>
      </c>
      <c r="U69" s="160">
        <f t="shared" si="31"/>
        <v>0.1524000000000001</v>
      </c>
      <c r="V69" s="151">
        <f t="shared" si="37"/>
        <v>0.9144000000000005</v>
      </c>
    </row>
    <row r="70" spans="1:22" s="209" customFormat="1" ht="12.75">
      <c r="A70" s="205"/>
      <c r="B70" s="206" t="s">
        <v>275</v>
      </c>
      <c r="C70" s="172"/>
      <c r="D70" s="172"/>
      <c r="E70" s="172">
        <v>17</v>
      </c>
      <c r="F70" s="172">
        <v>17</v>
      </c>
      <c r="G70" s="207">
        <f t="shared" si="33"/>
        <v>0.7575</v>
      </c>
      <c r="H70" s="151">
        <v>0.75</v>
      </c>
      <c r="I70" s="151">
        <f t="shared" si="34"/>
        <v>0</v>
      </c>
      <c r="J70" s="151">
        <v>0</v>
      </c>
      <c r="K70" s="151">
        <v>0</v>
      </c>
      <c r="L70" s="151">
        <v>0</v>
      </c>
      <c r="M70" s="151">
        <f t="shared" si="35"/>
        <v>0.0075</v>
      </c>
      <c r="N70" s="207">
        <f t="shared" si="36"/>
        <v>0.8181</v>
      </c>
      <c r="O70" s="151">
        <v>0.81</v>
      </c>
      <c r="P70" s="151">
        <f>+SUM(Q70:S70)</f>
        <v>0</v>
      </c>
      <c r="Q70" s="151">
        <v>0</v>
      </c>
      <c r="R70" s="151">
        <v>0</v>
      </c>
      <c r="S70" s="151">
        <v>0</v>
      </c>
      <c r="T70" s="151">
        <f t="shared" si="30"/>
        <v>0.008100000000000001</v>
      </c>
      <c r="U70" s="208">
        <f t="shared" si="31"/>
        <v>0.0006000000000000016</v>
      </c>
      <c r="V70" s="151">
        <f t="shared" si="37"/>
        <v>0.0036000000000000094</v>
      </c>
    </row>
    <row r="71" spans="1:22" s="209" customFormat="1" ht="12.75">
      <c r="A71" s="205"/>
      <c r="B71" s="206" t="s">
        <v>354</v>
      </c>
      <c r="C71" s="172"/>
      <c r="D71" s="172"/>
      <c r="E71" s="172">
        <v>330</v>
      </c>
      <c r="F71" s="172">
        <v>276</v>
      </c>
      <c r="G71" s="207">
        <f t="shared" si="33"/>
        <v>1242.401</v>
      </c>
      <c r="H71" s="151">
        <v>1095.93</v>
      </c>
      <c r="I71" s="151">
        <f t="shared" si="34"/>
        <v>134.17</v>
      </c>
      <c r="J71" s="151">
        <v>21.11</v>
      </c>
      <c r="K71" s="151">
        <v>45.96</v>
      </c>
      <c r="L71" s="151">
        <v>67.1</v>
      </c>
      <c r="M71" s="151">
        <f t="shared" si="35"/>
        <v>12.301000000000002</v>
      </c>
      <c r="N71" s="207">
        <f t="shared" si="36"/>
        <v>1334.8261000000002</v>
      </c>
      <c r="O71" s="151">
        <v>1177.45</v>
      </c>
      <c r="P71" s="151">
        <f>+SUM(Q71:S71)</f>
        <v>144.16</v>
      </c>
      <c r="Q71" s="151">
        <v>22.69</v>
      </c>
      <c r="R71" s="151">
        <v>49.37</v>
      </c>
      <c r="S71" s="151">
        <v>72.1</v>
      </c>
      <c r="T71" s="151">
        <f t="shared" si="30"/>
        <v>13.2161</v>
      </c>
      <c r="U71" s="208">
        <f t="shared" si="31"/>
        <v>0.9150999999999989</v>
      </c>
      <c r="V71" s="208">
        <f t="shared" si="37"/>
        <v>5.4905999999999935</v>
      </c>
    </row>
    <row r="72" spans="1:22" s="155" customFormat="1" ht="12" customHeight="1">
      <c r="A72" s="110"/>
      <c r="B72" s="112" t="s">
        <v>118</v>
      </c>
      <c r="C72" s="112"/>
      <c r="D72" s="112"/>
      <c r="E72" s="112"/>
      <c r="F72" s="112"/>
      <c r="G72" s="113"/>
      <c r="H72" s="113"/>
      <c r="I72" s="113"/>
      <c r="J72" s="113"/>
      <c r="K72" s="113"/>
      <c r="L72" s="113"/>
      <c r="M72" s="113"/>
      <c r="N72" s="113"/>
      <c r="O72" s="113"/>
      <c r="P72" s="113"/>
      <c r="Q72" s="113"/>
      <c r="R72" s="113"/>
      <c r="S72" s="113"/>
      <c r="T72" s="113"/>
      <c r="U72" s="113"/>
      <c r="V72" s="151">
        <v>0</v>
      </c>
    </row>
    <row r="73" spans="1:22" s="155" customFormat="1" ht="12" customHeight="1">
      <c r="A73" s="110"/>
      <c r="B73" s="159" t="s">
        <v>176</v>
      </c>
      <c r="C73" s="112"/>
      <c r="D73" s="112"/>
      <c r="E73" s="112"/>
      <c r="F73" s="112"/>
      <c r="G73" s="113"/>
      <c r="H73" s="113"/>
      <c r="I73" s="113"/>
      <c r="J73" s="113"/>
      <c r="K73" s="113"/>
      <c r="L73" s="113"/>
      <c r="M73" s="113"/>
      <c r="N73" s="113"/>
      <c r="O73" s="113"/>
      <c r="P73" s="113"/>
      <c r="Q73" s="113"/>
      <c r="R73" s="113"/>
      <c r="S73" s="113"/>
      <c r="T73" s="113"/>
      <c r="U73" s="113"/>
      <c r="V73" s="151"/>
    </row>
    <row r="74" spans="1:22" s="155" customFormat="1" ht="12" customHeight="1">
      <c r="A74" s="110"/>
      <c r="B74" s="159" t="s">
        <v>213</v>
      </c>
      <c r="C74" s="112"/>
      <c r="D74" s="112"/>
      <c r="E74" s="112"/>
      <c r="F74" s="112"/>
      <c r="G74" s="113"/>
      <c r="H74" s="113"/>
      <c r="I74" s="113"/>
      <c r="J74" s="113"/>
      <c r="K74" s="113"/>
      <c r="L74" s="113"/>
      <c r="M74" s="113"/>
      <c r="N74" s="113"/>
      <c r="O74" s="113"/>
      <c r="P74" s="113"/>
      <c r="Q74" s="113"/>
      <c r="R74" s="113"/>
      <c r="S74" s="113"/>
      <c r="T74" s="113"/>
      <c r="U74" s="113"/>
      <c r="V74" s="151"/>
    </row>
    <row r="75" spans="1:22" s="138" customFormat="1" ht="12.75">
      <c r="A75" s="71" t="s">
        <v>157</v>
      </c>
      <c r="B75" s="72" t="s">
        <v>156</v>
      </c>
      <c r="C75" s="72"/>
      <c r="D75" s="72"/>
      <c r="E75" s="72">
        <f>+SUM(E76:E85)</f>
        <v>115</v>
      </c>
      <c r="F75" s="72">
        <f aca="true" t="shared" si="38" ref="F75:U75">+SUM(F76:F85)</f>
        <v>92</v>
      </c>
      <c r="G75" s="72">
        <f t="shared" si="38"/>
        <v>345.71492</v>
      </c>
      <c r="H75" s="72">
        <f t="shared" si="38"/>
        <v>326.442</v>
      </c>
      <c r="I75" s="72">
        <f t="shared" si="38"/>
        <v>15.85</v>
      </c>
      <c r="J75" s="72">
        <f t="shared" si="38"/>
        <v>14.389999999999999</v>
      </c>
      <c r="K75" s="72">
        <f t="shared" si="38"/>
        <v>1.46</v>
      </c>
      <c r="L75" s="72">
        <f t="shared" si="38"/>
        <v>0</v>
      </c>
      <c r="M75" s="72">
        <f t="shared" si="38"/>
        <v>3.4229200000000004</v>
      </c>
      <c r="N75" s="72">
        <f t="shared" si="38"/>
        <v>371.44366</v>
      </c>
      <c r="O75" s="72">
        <f t="shared" si="38"/>
        <v>350.656</v>
      </c>
      <c r="P75" s="72">
        <f t="shared" si="38"/>
        <v>17.11</v>
      </c>
      <c r="Q75" s="72">
        <f t="shared" si="38"/>
        <v>15.520000000000001</v>
      </c>
      <c r="R75" s="72">
        <f t="shared" si="38"/>
        <v>1.5899999999999999</v>
      </c>
      <c r="S75" s="72">
        <f t="shared" si="38"/>
        <v>0</v>
      </c>
      <c r="T75" s="72">
        <f t="shared" si="38"/>
        <v>3.6776600000000004</v>
      </c>
      <c r="U75" s="72">
        <f t="shared" si="38"/>
        <v>0.25473999999999997</v>
      </c>
      <c r="V75" s="222">
        <f>+SUM(V76:V85)</f>
        <v>1.5284400000000002</v>
      </c>
    </row>
    <row r="76" spans="1:22" s="139" customFormat="1" ht="25.5">
      <c r="A76" s="100"/>
      <c r="B76" s="159" t="s">
        <v>186</v>
      </c>
      <c r="C76" s="103">
        <v>8</v>
      </c>
      <c r="D76" s="103">
        <v>2.4</v>
      </c>
      <c r="E76" s="103">
        <v>8</v>
      </c>
      <c r="F76" s="103">
        <v>8</v>
      </c>
      <c r="G76" s="207">
        <f>+H76+I76+M76</f>
        <v>19.19</v>
      </c>
      <c r="H76" s="105">
        <v>18</v>
      </c>
      <c r="I76" s="151">
        <f>SUM(J76:L76)</f>
        <v>1</v>
      </c>
      <c r="J76" s="105">
        <v>1</v>
      </c>
      <c r="K76" s="105"/>
      <c r="L76" s="105"/>
      <c r="M76" s="151">
        <f>0.01*(H76+I76)</f>
        <v>0.19</v>
      </c>
      <c r="N76" s="207">
        <f>+O76+P76+T76</f>
        <v>21.21</v>
      </c>
      <c r="O76" s="105">
        <v>20</v>
      </c>
      <c r="P76" s="151">
        <f>+SUM(Q76:S76)</f>
        <v>1</v>
      </c>
      <c r="Q76" s="105">
        <v>1</v>
      </c>
      <c r="R76" s="105"/>
      <c r="S76" s="105"/>
      <c r="T76" s="151">
        <f>0.01*(O76+P76)</f>
        <v>0.21</v>
      </c>
      <c r="U76" s="208">
        <f>+T76-M76</f>
        <v>0.01999999999999999</v>
      </c>
      <c r="V76" s="208">
        <f>+U76*6</f>
        <v>0.11999999999999994</v>
      </c>
    </row>
    <row r="77" spans="1:22" s="139" customFormat="1" ht="12.75">
      <c r="A77" s="100"/>
      <c r="B77" s="159" t="s">
        <v>188</v>
      </c>
      <c r="C77" s="103"/>
      <c r="D77" s="103"/>
      <c r="E77" s="103">
        <v>12</v>
      </c>
      <c r="F77" s="103">
        <v>11</v>
      </c>
      <c r="G77" s="207">
        <f>+H77+I77+M77</f>
        <v>43.501709999999996</v>
      </c>
      <c r="H77" s="105">
        <v>40.842</v>
      </c>
      <c r="I77" s="151">
        <f>SUM(J77:L77)</f>
        <v>2.229</v>
      </c>
      <c r="J77" s="105">
        <v>2.229</v>
      </c>
      <c r="K77" s="105"/>
      <c r="L77" s="105"/>
      <c r="M77" s="151">
        <f>0.01*(H77+I77)</f>
        <v>0.43071</v>
      </c>
      <c r="N77" s="207">
        <f>+O77+P77+T77</f>
        <v>46.813500000000005</v>
      </c>
      <c r="O77" s="105">
        <v>43.88</v>
      </c>
      <c r="P77" s="151">
        <f>+SUM(Q77:S77)</f>
        <v>2.47</v>
      </c>
      <c r="Q77" s="105">
        <v>2.47</v>
      </c>
      <c r="R77" s="105"/>
      <c r="S77" s="105"/>
      <c r="T77" s="151">
        <f>0.01*(O77+P77)</f>
        <v>0.4635</v>
      </c>
      <c r="U77" s="208">
        <f>+T77-M77</f>
        <v>0.03279000000000004</v>
      </c>
      <c r="V77" s="208">
        <f>+U77*6</f>
        <v>0.19674000000000025</v>
      </c>
    </row>
    <row r="78" spans="1:22" s="155" customFormat="1" ht="12.75">
      <c r="A78" s="110"/>
      <c r="B78" s="159" t="s">
        <v>230</v>
      </c>
      <c r="C78" s="112">
        <v>20</v>
      </c>
      <c r="D78" s="112">
        <v>20.02</v>
      </c>
      <c r="E78" s="112">
        <v>32</v>
      </c>
      <c r="F78" s="112">
        <v>20</v>
      </c>
      <c r="G78" s="104">
        <f>+H78+I78+M78</f>
        <v>84.23400000000001</v>
      </c>
      <c r="H78" s="113">
        <v>79</v>
      </c>
      <c r="I78" s="113">
        <f aca="true" t="shared" si="39" ref="I78:I85">+SUM(J78:L78)</f>
        <v>4.4</v>
      </c>
      <c r="J78" s="113">
        <v>3.3</v>
      </c>
      <c r="K78" s="113">
        <v>1.1</v>
      </c>
      <c r="L78" s="113">
        <v>0</v>
      </c>
      <c r="M78" s="113">
        <f aca="true" t="shared" si="40" ref="M78:M85">0.01*(H78+I78)</f>
        <v>0.8340000000000001</v>
      </c>
      <c r="N78" s="104">
        <f aca="true" t="shared" si="41" ref="N78:N85">+O78+P78+T78</f>
        <v>90.193</v>
      </c>
      <c r="O78" s="113">
        <v>84.5</v>
      </c>
      <c r="P78" s="113">
        <f aca="true" t="shared" si="42" ref="P78:P85">+SUM(Q78:S78)</f>
        <v>4.8</v>
      </c>
      <c r="Q78" s="113">
        <v>3.6</v>
      </c>
      <c r="R78" s="113">
        <v>1.2</v>
      </c>
      <c r="S78" s="113">
        <v>0</v>
      </c>
      <c r="T78" s="113">
        <f aca="true" t="shared" si="43" ref="T78:T85">0.01*(O78+P78)</f>
        <v>0.893</v>
      </c>
      <c r="U78" s="160">
        <f aca="true" t="shared" si="44" ref="U78:U85">+T78-M78</f>
        <v>0.05899999999999994</v>
      </c>
      <c r="V78" s="208">
        <f>+U78*6</f>
        <v>0.35399999999999965</v>
      </c>
    </row>
    <row r="79" spans="1:22" s="155" customFormat="1" ht="12.75">
      <c r="A79" s="110"/>
      <c r="B79" s="159" t="s">
        <v>231</v>
      </c>
      <c r="C79" s="112">
        <v>9</v>
      </c>
      <c r="D79" s="112">
        <v>12.33</v>
      </c>
      <c r="E79" s="112">
        <v>9</v>
      </c>
      <c r="F79" s="112">
        <v>9</v>
      </c>
      <c r="G79" s="104">
        <f aca="true" t="shared" si="45" ref="G79:G85">+H79+I79+M79</f>
        <v>38.581999999999994</v>
      </c>
      <c r="H79" s="113">
        <v>36.51</v>
      </c>
      <c r="I79" s="113">
        <v>1.69</v>
      </c>
      <c r="J79" s="113">
        <v>1.69</v>
      </c>
      <c r="K79" s="113">
        <v>0</v>
      </c>
      <c r="L79" s="113">
        <v>0</v>
      </c>
      <c r="M79" s="113">
        <f t="shared" si="40"/>
        <v>0.38199999999999995</v>
      </c>
      <c r="N79" s="104">
        <f t="shared" si="41"/>
        <v>41.4504</v>
      </c>
      <c r="O79" s="113">
        <v>39.22</v>
      </c>
      <c r="P79" s="113">
        <f t="shared" si="42"/>
        <v>1.82</v>
      </c>
      <c r="Q79" s="113">
        <v>1.82</v>
      </c>
      <c r="R79" s="113">
        <v>0</v>
      </c>
      <c r="S79" s="113">
        <v>0</v>
      </c>
      <c r="T79" s="113">
        <f t="shared" si="43"/>
        <v>0.4104</v>
      </c>
      <c r="U79" s="160">
        <f t="shared" si="44"/>
        <v>0.028400000000000036</v>
      </c>
      <c r="V79" s="208">
        <f>+U79*6</f>
        <v>0.17040000000000022</v>
      </c>
    </row>
    <row r="80" spans="1:22" s="139" customFormat="1" ht="12.75">
      <c r="A80" s="100"/>
      <c r="B80" s="111" t="s">
        <v>335</v>
      </c>
      <c r="C80" s="103"/>
      <c r="D80" s="103"/>
      <c r="E80" s="103">
        <v>17</v>
      </c>
      <c r="F80" s="103">
        <v>14</v>
      </c>
      <c r="G80" s="106">
        <f>SUM(H80,I80,M80)</f>
        <v>46.25699</v>
      </c>
      <c r="H80" s="105">
        <v>43.5</v>
      </c>
      <c r="I80" s="105">
        <f>SUM(J80:L80)</f>
        <v>2.299</v>
      </c>
      <c r="J80" s="105">
        <v>2.299</v>
      </c>
      <c r="K80" s="105"/>
      <c r="L80" s="105"/>
      <c r="M80" s="158">
        <f>0.01*(H80+I80)</f>
        <v>0.45799</v>
      </c>
      <c r="N80" s="106">
        <f>O80+P80+T80</f>
        <v>49.68392</v>
      </c>
      <c r="O80" s="105">
        <v>46.722</v>
      </c>
      <c r="P80" s="105">
        <f>SUM(Q80:S80)</f>
        <v>2.47</v>
      </c>
      <c r="Q80" s="105">
        <v>2.47</v>
      </c>
      <c r="R80" s="105"/>
      <c r="S80" s="105"/>
      <c r="T80" s="160">
        <f t="shared" si="43"/>
        <v>0.49192</v>
      </c>
      <c r="U80" s="113">
        <f>+T80-M80</f>
        <v>0.033930000000000016</v>
      </c>
      <c r="V80" s="177">
        <f>U80*6</f>
        <v>0.2035800000000001</v>
      </c>
    </row>
    <row r="81" spans="1:22" s="155" customFormat="1" ht="25.5">
      <c r="A81" s="110"/>
      <c r="B81" s="159" t="s">
        <v>355</v>
      </c>
      <c r="C81" s="112"/>
      <c r="D81" s="112"/>
      <c r="E81" s="112">
        <v>12</v>
      </c>
      <c r="F81" s="112">
        <v>13</v>
      </c>
      <c r="G81" s="104">
        <f t="shared" si="45"/>
        <v>41.68472</v>
      </c>
      <c r="H81" s="113">
        <v>38.61</v>
      </c>
      <c r="I81" s="113">
        <f t="shared" si="39"/>
        <v>2.662</v>
      </c>
      <c r="J81" s="113">
        <v>2.662</v>
      </c>
      <c r="K81" s="113"/>
      <c r="L81" s="113"/>
      <c r="M81" s="113">
        <f t="shared" si="40"/>
        <v>0.41272</v>
      </c>
      <c r="N81" s="104">
        <f t="shared" si="41"/>
        <v>44.786429999999996</v>
      </c>
      <c r="O81" s="113">
        <v>41.483</v>
      </c>
      <c r="P81" s="113">
        <f t="shared" si="42"/>
        <v>2.86</v>
      </c>
      <c r="Q81" s="113">
        <v>2.86</v>
      </c>
      <c r="R81" s="113"/>
      <c r="S81" s="113"/>
      <c r="T81" s="113">
        <f t="shared" si="43"/>
        <v>0.44343</v>
      </c>
      <c r="U81" s="113">
        <f t="shared" si="44"/>
        <v>0.030710000000000015</v>
      </c>
      <c r="V81" s="208">
        <f>+U81*6</f>
        <v>0.1842600000000001</v>
      </c>
    </row>
    <row r="82" spans="1:22" s="155" customFormat="1" ht="12.75">
      <c r="A82" s="110"/>
      <c r="B82" s="159" t="s">
        <v>232</v>
      </c>
      <c r="C82" s="112">
        <v>13</v>
      </c>
      <c r="D82" s="112"/>
      <c r="E82" s="112">
        <v>13</v>
      </c>
      <c r="F82" s="112">
        <v>8</v>
      </c>
      <c r="G82" s="104">
        <f t="shared" si="45"/>
        <v>33.56230000000001</v>
      </c>
      <c r="H82" s="113">
        <v>32.63</v>
      </c>
      <c r="I82" s="113">
        <f t="shared" si="39"/>
        <v>0.6</v>
      </c>
      <c r="J82" s="113">
        <v>0.6</v>
      </c>
      <c r="K82" s="113">
        <v>0</v>
      </c>
      <c r="L82" s="113">
        <v>0</v>
      </c>
      <c r="M82" s="113">
        <f t="shared" si="40"/>
        <v>0.33230000000000004</v>
      </c>
      <c r="N82" s="104">
        <f t="shared" si="41"/>
        <v>36.06811</v>
      </c>
      <c r="O82" s="113">
        <v>35.061</v>
      </c>
      <c r="P82" s="113">
        <f t="shared" si="42"/>
        <v>0.65</v>
      </c>
      <c r="Q82" s="113">
        <v>0.65</v>
      </c>
      <c r="R82" s="113">
        <v>0</v>
      </c>
      <c r="S82" s="113">
        <v>0</v>
      </c>
      <c r="T82" s="160">
        <f>0.01*(O82+P82)</f>
        <v>0.35711</v>
      </c>
      <c r="U82" s="162">
        <f t="shared" si="44"/>
        <v>0.024809999999999943</v>
      </c>
      <c r="V82" s="151">
        <f>+U82*6</f>
        <v>0.14885999999999966</v>
      </c>
    </row>
    <row r="83" spans="1:22" s="155" customFormat="1" ht="12.75">
      <c r="A83" s="110"/>
      <c r="B83" s="159" t="s">
        <v>233</v>
      </c>
      <c r="C83" s="112">
        <v>5</v>
      </c>
      <c r="D83" s="112"/>
      <c r="E83" s="112">
        <v>6</v>
      </c>
      <c r="F83" s="112">
        <v>5</v>
      </c>
      <c r="G83" s="104">
        <f>+H83+I83+M83</f>
        <v>20.1596</v>
      </c>
      <c r="H83" s="160">
        <v>19.35</v>
      </c>
      <c r="I83" s="113">
        <f t="shared" si="39"/>
        <v>0.61</v>
      </c>
      <c r="J83" s="160">
        <v>0.61</v>
      </c>
      <c r="K83" s="113">
        <v>0</v>
      </c>
      <c r="L83" s="113">
        <v>0</v>
      </c>
      <c r="M83" s="160">
        <f t="shared" si="40"/>
        <v>0.1996</v>
      </c>
      <c r="N83" s="104">
        <f t="shared" si="41"/>
        <v>21.6544</v>
      </c>
      <c r="O83" s="113">
        <v>20.79</v>
      </c>
      <c r="P83" s="113">
        <f t="shared" si="42"/>
        <v>0.65</v>
      </c>
      <c r="Q83" s="113">
        <v>0.65</v>
      </c>
      <c r="R83" s="113">
        <v>0</v>
      </c>
      <c r="S83" s="113">
        <v>0</v>
      </c>
      <c r="T83" s="160">
        <f t="shared" si="43"/>
        <v>0.21439999999999998</v>
      </c>
      <c r="U83" s="160">
        <f t="shared" si="44"/>
        <v>0.01479999999999998</v>
      </c>
      <c r="V83" s="208">
        <f>+U83*6</f>
        <v>0.08879999999999988</v>
      </c>
    </row>
    <row r="84" spans="1:22" s="155" customFormat="1" ht="12.75">
      <c r="A84" s="110"/>
      <c r="B84" s="159" t="s">
        <v>234</v>
      </c>
      <c r="C84" s="112">
        <v>4</v>
      </c>
      <c r="D84" s="112"/>
      <c r="E84" s="112">
        <v>6</v>
      </c>
      <c r="F84" s="112">
        <v>4</v>
      </c>
      <c r="G84" s="104">
        <f t="shared" si="45"/>
        <v>18.543599999999998</v>
      </c>
      <c r="H84" s="113">
        <v>18</v>
      </c>
      <c r="I84" s="113">
        <f t="shared" si="39"/>
        <v>0.36</v>
      </c>
      <c r="J84" s="113">
        <v>0</v>
      </c>
      <c r="K84" s="113">
        <v>0.36</v>
      </c>
      <c r="L84" s="113">
        <v>0</v>
      </c>
      <c r="M84" s="160">
        <f t="shared" si="40"/>
        <v>0.18359999999999999</v>
      </c>
      <c r="N84" s="104">
        <f t="shared" si="41"/>
        <v>19.5839</v>
      </c>
      <c r="O84" s="113">
        <v>19</v>
      </c>
      <c r="P84" s="113">
        <f t="shared" si="42"/>
        <v>0.39</v>
      </c>
      <c r="Q84" s="113">
        <v>0</v>
      </c>
      <c r="R84" s="113">
        <v>0.39</v>
      </c>
      <c r="S84" s="113">
        <v>0</v>
      </c>
      <c r="T84" s="113">
        <f t="shared" si="43"/>
        <v>0.19390000000000002</v>
      </c>
      <c r="U84" s="160">
        <f t="shared" si="44"/>
        <v>0.010300000000000031</v>
      </c>
      <c r="V84" s="208">
        <f>+U84*6</f>
        <v>0.06180000000000019</v>
      </c>
    </row>
    <row r="85" spans="1:22" s="155" customFormat="1" ht="12.75">
      <c r="A85" s="110"/>
      <c r="B85" s="159" t="s">
        <v>235</v>
      </c>
      <c r="C85" s="112"/>
      <c r="D85" s="112"/>
      <c r="E85" s="112">
        <v>0</v>
      </c>
      <c r="F85" s="112">
        <v>0</v>
      </c>
      <c r="G85" s="104">
        <f t="shared" si="45"/>
        <v>0</v>
      </c>
      <c r="H85" s="113">
        <v>0</v>
      </c>
      <c r="I85" s="113">
        <f t="shared" si="39"/>
        <v>0</v>
      </c>
      <c r="J85" s="113">
        <v>0</v>
      </c>
      <c r="K85" s="113">
        <v>0</v>
      </c>
      <c r="L85" s="113">
        <v>0</v>
      </c>
      <c r="M85" s="113">
        <f t="shared" si="40"/>
        <v>0</v>
      </c>
      <c r="N85" s="104">
        <f t="shared" si="41"/>
        <v>0</v>
      </c>
      <c r="O85" s="113">
        <v>0</v>
      </c>
      <c r="P85" s="113">
        <f t="shared" si="42"/>
        <v>0</v>
      </c>
      <c r="Q85" s="113">
        <v>0</v>
      </c>
      <c r="R85" s="113">
        <v>0</v>
      </c>
      <c r="S85" s="113">
        <v>0</v>
      </c>
      <c r="T85" s="113">
        <f t="shared" si="43"/>
        <v>0</v>
      </c>
      <c r="U85" s="113">
        <f t="shared" si="44"/>
        <v>0</v>
      </c>
      <c r="V85" s="151">
        <f>+U85*6</f>
        <v>0</v>
      </c>
    </row>
    <row r="86" spans="1:22" s="138" customFormat="1" ht="12.75">
      <c r="A86" s="71" t="s">
        <v>36</v>
      </c>
      <c r="B86" s="72" t="s">
        <v>95</v>
      </c>
      <c r="C86" s="72"/>
      <c r="D86" s="72"/>
      <c r="E86" s="72">
        <f>+E87+E88+E89+E90+E91+E92+E93+E96+E97+E101+E104+E108+E113+E116+E122+E132</f>
        <v>791</v>
      </c>
      <c r="F86" s="72">
        <f>+F87+F88+F89+F90+F91+F92+F93+F96+F97+F101+F104+F108+F113+F116+F122</f>
        <v>132</v>
      </c>
      <c r="G86" s="116">
        <f aca="true" t="shared" si="46" ref="G86:V86">+G87+G88+G89+G90+G91+G92+G93+G96+G97+G101+G104+G108+G113+G116+G122+G105</f>
        <v>742.8538081999998</v>
      </c>
      <c r="H86" s="116">
        <f t="shared" si="46"/>
        <v>726.838</v>
      </c>
      <c r="I86" s="116">
        <f t="shared" si="46"/>
        <v>8.66082</v>
      </c>
      <c r="J86" s="116">
        <f t="shared" si="46"/>
        <v>5.805</v>
      </c>
      <c r="K86" s="116">
        <f t="shared" si="46"/>
        <v>2.85582</v>
      </c>
      <c r="L86" s="116">
        <f t="shared" si="46"/>
        <v>0</v>
      </c>
      <c r="M86" s="116">
        <f t="shared" si="46"/>
        <v>7.354988200000001</v>
      </c>
      <c r="N86" s="116">
        <f t="shared" si="46"/>
        <v>811.9961659999998</v>
      </c>
      <c r="O86" s="116">
        <f t="shared" si="46"/>
        <v>794.687</v>
      </c>
      <c r="P86" s="116">
        <f t="shared" si="46"/>
        <v>9.2696</v>
      </c>
      <c r="Q86" s="116">
        <f t="shared" si="46"/>
        <v>6.6287</v>
      </c>
      <c r="R86" s="116">
        <f t="shared" si="46"/>
        <v>2.6409000000000002</v>
      </c>
      <c r="S86" s="116">
        <f t="shared" si="46"/>
        <v>0</v>
      </c>
      <c r="T86" s="116">
        <f t="shared" si="46"/>
        <v>8.039566</v>
      </c>
      <c r="U86" s="116">
        <f t="shared" si="46"/>
        <v>0.6845777999999998</v>
      </c>
      <c r="V86" s="124">
        <f t="shared" si="46"/>
        <v>3.8791067999999984</v>
      </c>
    </row>
    <row r="87" spans="1:22" s="139" customFormat="1" ht="12.75">
      <c r="A87" s="100"/>
      <c r="B87" s="103" t="s">
        <v>160</v>
      </c>
      <c r="C87" s="103">
        <v>7</v>
      </c>
      <c r="D87" s="103">
        <v>5.35</v>
      </c>
      <c r="E87" s="103">
        <v>39</v>
      </c>
      <c r="F87" s="103">
        <v>7</v>
      </c>
      <c r="G87" s="105">
        <f>H87+I87+M87</f>
        <v>22.303325</v>
      </c>
      <c r="H87" s="105">
        <v>22.0825</v>
      </c>
      <c r="I87" s="105">
        <f>+SUM(J87:L87)</f>
        <v>0</v>
      </c>
      <c r="J87" s="105">
        <v>0</v>
      </c>
      <c r="K87" s="105">
        <v>0</v>
      </c>
      <c r="L87" s="105">
        <v>0</v>
      </c>
      <c r="M87" s="105">
        <f aca="true" t="shared" si="47" ref="M87:M92">0.01*(H87+I87)</f>
        <v>0.220825</v>
      </c>
      <c r="N87" s="105">
        <f>O87+P87+T87</f>
        <v>23.95215</v>
      </c>
      <c r="O87" s="105">
        <v>23.715</v>
      </c>
      <c r="P87" s="105">
        <f>+SUM(Q87:S87)</f>
        <v>0</v>
      </c>
      <c r="Q87" s="105">
        <v>0</v>
      </c>
      <c r="R87" s="105">
        <v>0</v>
      </c>
      <c r="S87" s="105">
        <v>0</v>
      </c>
      <c r="T87" s="105">
        <f>0.01*(O87+P87)</f>
        <v>0.23715</v>
      </c>
      <c r="U87" s="158">
        <f>+T87-M87</f>
        <v>0.016325000000000006</v>
      </c>
      <c r="V87" s="230">
        <f>+U87*6</f>
        <v>0.09795000000000004</v>
      </c>
    </row>
    <row r="88" spans="1:22" s="138" customFormat="1" ht="12.75">
      <c r="A88" s="71"/>
      <c r="B88" s="72" t="s">
        <v>169</v>
      </c>
      <c r="C88" s="72">
        <v>26</v>
      </c>
      <c r="D88" s="72">
        <v>18.187</v>
      </c>
      <c r="E88" s="72">
        <v>25</v>
      </c>
      <c r="F88" s="72">
        <v>25</v>
      </c>
      <c r="G88" s="79">
        <f>H88+I88+M88</f>
        <v>73.66031000000001</v>
      </c>
      <c r="H88" s="79">
        <v>72.623</v>
      </c>
      <c r="I88" s="79">
        <f>+SUM(J88:L88)</f>
        <v>0.308</v>
      </c>
      <c r="J88" s="79">
        <v>0</v>
      </c>
      <c r="K88" s="79">
        <v>0.308</v>
      </c>
      <c r="L88" s="79">
        <v>0</v>
      </c>
      <c r="M88" s="79">
        <f t="shared" si="47"/>
        <v>0.7293100000000001</v>
      </c>
      <c r="N88" s="79">
        <f>O88+P88+T88</f>
        <v>77.50437000000001</v>
      </c>
      <c r="O88" s="79">
        <v>76.412</v>
      </c>
      <c r="P88" s="79">
        <f>+SUM(Q88:S88)</f>
        <v>0.325</v>
      </c>
      <c r="Q88" s="79">
        <v>0</v>
      </c>
      <c r="R88" s="79">
        <v>0.325</v>
      </c>
      <c r="S88" s="79">
        <v>0</v>
      </c>
      <c r="T88" s="79">
        <f>0.01*(O88+P88)</f>
        <v>0.7673700000000001</v>
      </c>
      <c r="U88" s="79">
        <f>+T88-M88</f>
        <v>0.03805999999999998</v>
      </c>
      <c r="V88" s="150">
        <v>0</v>
      </c>
    </row>
    <row r="89" spans="1:22" s="139" customFormat="1" ht="12.75">
      <c r="A89" s="100"/>
      <c r="B89" s="103" t="s">
        <v>113</v>
      </c>
      <c r="C89" s="103">
        <v>6</v>
      </c>
      <c r="D89" s="103">
        <v>3.59</v>
      </c>
      <c r="E89" s="103">
        <v>74</v>
      </c>
      <c r="F89" s="103">
        <v>5</v>
      </c>
      <c r="G89" s="105">
        <f>H89+I89+M89</f>
        <v>336.0977</v>
      </c>
      <c r="H89" s="105">
        <v>332.53</v>
      </c>
      <c r="I89" s="105">
        <f>+SUM(J89:L89)</f>
        <v>0.24</v>
      </c>
      <c r="J89" s="105">
        <v>0</v>
      </c>
      <c r="K89" s="105">
        <v>0.24</v>
      </c>
      <c r="L89" s="105">
        <v>0</v>
      </c>
      <c r="M89" s="105">
        <f t="shared" si="47"/>
        <v>3.3277</v>
      </c>
      <c r="N89" s="105">
        <f>O89+P89+T89</f>
        <v>361.1053</v>
      </c>
      <c r="O89" s="105">
        <v>357.27</v>
      </c>
      <c r="P89" s="105">
        <f>+SUM(Q89:S89)</f>
        <v>0.26</v>
      </c>
      <c r="Q89" s="105">
        <v>0</v>
      </c>
      <c r="R89" s="105">
        <v>0.26</v>
      </c>
      <c r="S89" s="105">
        <v>0</v>
      </c>
      <c r="T89" s="105">
        <f>0.01*(O89+P89)</f>
        <v>3.5753</v>
      </c>
      <c r="U89" s="158">
        <f>+T89-M89</f>
        <v>0.24759999999999982</v>
      </c>
      <c r="V89" s="230">
        <f>+U89*6</f>
        <v>1.485599999999999</v>
      </c>
    </row>
    <row r="90" spans="1:22" s="139" customFormat="1" ht="12.75">
      <c r="A90" s="100"/>
      <c r="B90" s="103" t="s">
        <v>168</v>
      </c>
      <c r="C90" s="103">
        <v>4</v>
      </c>
      <c r="D90" s="103">
        <v>1.729</v>
      </c>
      <c r="E90" s="103">
        <v>74</v>
      </c>
      <c r="F90" s="103">
        <v>4</v>
      </c>
      <c r="G90" s="79">
        <f>H90+I90+M90</f>
        <v>14.544</v>
      </c>
      <c r="H90" s="105">
        <v>14.4</v>
      </c>
      <c r="I90" s="105">
        <f>+SUM(J90:L90)</f>
        <v>0</v>
      </c>
      <c r="J90" s="105">
        <v>0</v>
      </c>
      <c r="K90" s="105">
        <v>0</v>
      </c>
      <c r="L90" s="105">
        <v>0</v>
      </c>
      <c r="M90" s="105">
        <f>0.01*(H90+I90)</f>
        <v>0.14400000000000002</v>
      </c>
      <c r="N90" s="105">
        <f>O90+P90+T90</f>
        <v>15.655</v>
      </c>
      <c r="O90" s="105">
        <v>15.5</v>
      </c>
      <c r="P90" s="105">
        <f>+SUM(Q90:S90)</f>
        <v>0</v>
      </c>
      <c r="Q90" s="105">
        <v>0</v>
      </c>
      <c r="R90" s="105">
        <v>0</v>
      </c>
      <c r="S90" s="105">
        <v>0</v>
      </c>
      <c r="T90" s="105">
        <f>0.01*(O90+P90)</f>
        <v>0.155</v>
      </c>
      <c r="U90" s="158">
        <f>+T90-M90</f>
        <v>0.010999999999999982</v>
      </c>
      <c r="V90" s="230">
        <f>+U90*6</f>
        <v>0.06599999999999989</v>
      </c>
    </row>
    <row r="91" spans="1:22" s="138" customFormat="1" ht="12.75">
      <c r="A91" s="71"/>
      <c r="B91" s="72" t="s">
        <v>164</v>
      </c>
      <c r="C91" s="72">
        <v>0</v>
      </c>
      <c r="D91" s="72"/>
      <c r="E91" s="72"/>
      <c r="F91" s="72"/>
      <c r="G91" s="79"/>
      <c r="H91" s="79"/>
      <c r="I91" s="79"/>
      <c r="J91" s="79"/>
      <c r="K91" s="79"/>
      <c r="L91" s="79"/>
      <c r="M91" s="79">
        <f t="shared" si="47"/>
        <v>0</v>
      </c>
      <c r="N91" s="79"/>
      <c r="O91" s="79"/>
      <c r="P91" s="79"/>
      <c r="Q91" s="79"/>
      <c r="R91" s="79"/>
      <c r="S91" s="79"/>
      <c r="T91" s="79"/>
      <c r="U91" s="79"/>
      <c r="V91" s="150"/>
    </row>
    <row r="92" spans="1:22" s="139" customFormat="1" ht="12.75">
      <c r="A92" s="100"/>
      <c r="B92" s="103" t="s">
        <v>124</v>
      </c>
      <c r="C92" s="103">
        <v>0</v>
      </c>
      <c r="D92" s="103"/>
      <c r="E92" s="103">
        <v>0</v>
      </c>
      <c r="F92" s="103">
        <v>0</v>
      </c>
      <c r="G92" s="105">
        <v>0</v>
      </c>
      <c r="H92" s="105">
        <v>0</v>
      </c>
      <c r="I92" s="105">
        <v>0</v>
      </c>
      <c r="J92" s="105">
        <v>0</v>
      </c>
      <c r="K92" s="105">
        <v>0</v>
      </c>
      <c r="L92" s="105">
        <v>0</v>
      </c>
      <c r="M92" s="105">
        <f t="shared" si="47"/>
        <v>0</v>
      </c>
      <c r="N92" s="105">
        <v>0</v>
      </c>
      <c r="O92" s="105">
        <v>0</v>
      </c>
      <c r="P92" s="105">
        <v>0</v>
      </c>
      <c r="Q92" s="105">
        <v>0</v>
      </c>
      <c r="R92" s="105">
        <v>0</v>
      </c>
      <c r="S92" s="105">
        <v>0</v>
      </c>
      <c r="T92" s="105">
        <v>0</v>
      </c>
      <c r="U92" s="105">
        <v>0</v>
      </c>
      <c r="V92" s="153">
        <v>0</v>
      </c>
    </row>
    <row r="93" spans="1:22" s="139" customFormat="1" ht="12.75">
      <c r="A93" s="100"/>
      <c r="B93" s="103" t="s">
        <v>175</v>
      </c>
      <c r="C93" s="103"/>
      <c r="D93" s="103"/>
      <c r="E93" s="103">
        <f>+SUM(E94:E95)</f>
        <v>66</v>
      </c>
      <c r="F93" s="103">
        <f aca="true" t="shared" si="48" ref="F93:V93">+SUM(F94:F95)</f>
        <v>0</v>
      </c>
      <c r="G93" s="105">
        <f t="shared" si="48"/>
        <v>0</v>
      </c>
      <c r="H93" s="105">
        <f t="shared" si="48"/>
        <v>0</v>
      </c>
      <c r="I93" s="105">
        <f t="shared" si="48"/>
        <v>0</v>
      </c>
      <c r="J93" s="105">
        <f t="shared" si="48"/>
        <v>0</v>
      </c>
      <c r="K93" s="105">
        <f t="shared" si="48"/>
        <v>0</v>
      </c>
      <c r="L93" s="105">
        <f t="shared" si="48"/>
        <v>0</v>
      </c>
      <c r="M93" s="105">
        <f t="shared" si="48"/>
        <v>0</v>
      </c>
      <c r="N93" s="105">
        <f t="shared" si="48"/>
        <v>0</v>
      </c>
      <c r="O93" s="105">
        <f t="shared" si="48"/>
        <v>0</v>
      </c>
      <c r="P93" s="105">
        <f t="shared" si="48"/>
        <v>0</v>
      </c>
      <c r="Q93" s="105">
        <f t="shared" si="48"/>
        <v>0</v>
      </c>
      <c r="R93" s="105">
        <f t="shared" si="48"/>
        <v>0</v>
      </c>
      <c r="S93" s="105">
        <f t="shared" si="48"/>
        <v>0</v>
      </c>
      <c r="T93" s="105">
        <f t="shared" si="48"/>
        <v>0</v>
      </c>
      <c r="U93" s="105">
        <f t="shared" si="48"/>
        <v>0</v>
      </c>
      <c r="V93" s="153">
        <f t="shared" si="48"/>
        <v>0</v>
      </c>
    </row>
    <row r="94" spans="1:22" s="155" customFormat="1" ht="12.75">
      <c r="A94" s="110"/>
      <c r="B94" s="163" t="s">
        <v>179</v>
      </c>
      <c r="C94" s="112">
        <v>0</v>
      </c>
      <c r="D94" s="112">
        <v>0</v>
      </c>
      <c r="E94" s="112">
        <v>66</v>
      </c>
      <c r="F94" s="112">
        <v>0</v>
      </c>
      <c r="G94" s="113">
        <v>0</v>
      </c>
      <c r="H94" s="113">
        <v>0</v>
      </c>
      <c r="I94" s="113">
        <f aca="true" t="shared" si="49" ref="I94:I130">+SUM(J94:L94)</f>
        <v>0</v>
      </c>
      <c r="J94" s="113">
        <v>0</v>
      </c>
      <c r="K94" s="113">
        <v>0</v>
      </c>
      <c r="L94" s="113">
        <v>0</v>
      </c>
      <c r="M94" s="113">
        <v>0</v>
      </c>
      <c r="N94" s="113">
        <v>0</v>
      </c>
      <c r="O94" s="113">
        <v>0</v>
      </c>
      <c r="P94" s="113">
        <f aca="true" t="shared" si="50" ref="P94:P130">+SUM(Q94:S94)</f>
        <v>0</v>
      </c>
      <c r="Q94" s="113">
        <v>0</v>
      </c>
      <c r="R94" s="113">
        <v>0</v>
      </c>
      <c r="S94" s="113">
        <v>0</v>
      </c>
      <c r="T94" s="113">
        <v>0</v>
      </c>
      <c r="U94" s="113">
        <v>0</v>
      </c>
      <c r="V94" s="151">
        <v>0</v>
      </c>
    </row>
    <row r="95" spans="1:22" s="155" customFormat="1" ht="12.75">
      <c r="A95" s="110"/>
      <c r="B95" s="163" t="s">
        <v>180</v>
      </c>
      <c r="C95" s="112">
        <v>0</v>
      </c>
      <c r="D95" s="112">
        <v>0</v>
      </c>
      <c r="E95" s="112">
        <v>0</v>
      </c>
      <c r="F95" s="112">
        <v>0</v>
      </c>
      <c r="G95" s="113">
        <f>H95+I95+M95</f>
        <v>0</v>
      </c>
      <c r="H95" s="113">
        <v>0</v>
      </c>
      <c r="I95" s="113">
        <f t="shared" si="49"/>
        <v>0</v>
      </c>
      <c r="J95" s="113">
        <v>0</v>
      </c>
      <c r="K95" s="113">
        <v>0</v>
      </c>
      <c r="L95" s="113">
        <v>0</v>
      </c>
      <c r="M95" s="113">
        <f aca="true" t="shared" si="51" ref="M95:M104">0.01*(H95+I95)</f>
        <v>0</v>
      </c>
      <c r="N95" s="104">
        <f aca="true" t="shared" si="52" ref="N95:N104">+O95+P95+T95</f>
        <v>0</v>
      </c>
      <c r="O95" s="113">
        <v>0</v>
      </c>
      <c r="P95" s="113">
        <f t="shared" si="50"/>
        <v>0</v>
      </c>
      <c r="Q95" s="113">
        <v>0</v>
      </c>
      <c r="R95" s="113">
        <v>0</v>
      </c>
      <c r="S95" s="113">
        <v>0</v>
      </c>
      <c r="T95" s="113">
        <f aca="true" t="shared" si="53" ref="T95:T115">0.01*(O95+P95)</f>
        <v>0</v>
      </c>
      <c r="U95" s="113">
        <f aca="true" t="shared" si="54" ref="U95:U104">+T95-M95</f>
        <v>0</v>
      </c>
      <c r="V95" s="151">
        <f>+U95*8</f>
        <v>0</v>
      </c>
    </row>
    <row r="96" spans="1:22" s="139" customFormat="1" ht="12.75">
      <c r="A96" s="100"/>
      <c r="B96" s="103" t="s">
        <v>163</v>
      </c>
      <c r="C96" s="103">
        <v>0</v>
      </c>
      <c r="D96" s="103">
        <v>0</v>
      </c>
      <c r="E96" s="103">
        <v>80</v>
      </c>
      <c r="F96" s="103">
        <v>8</v>
      </c>
      <c r="G96" s="106">
        <f aca="true" t="shared" si="55" ref="G96:G104">+H96+I96+M96</f>
        <v>26.663999999999998</v>
      </c>
      <c r="H96" s="105">
        <v>26.4</v>
      </c>
      <c r="I96" s="105">
        <f t="shared" si="49"/>
        <v>0</v>
      </c>
      <c r="J96" s="105">
        <v>0</v>
      </c>
      <c r="K96" s="105">
        <v>0</v>
      </c>
      <c r="L96" s="105">
        <v>0</v>
      </c>
      <c r="M96" s="158">
        <f>0.01*(H96+I96)</f>
        <v>0.264</v>
      </c>
      <c r="N96" s="106">
        <f>+O96+P96+T96</f>
        <v>28.683999999999997</v>
      </c>
      <c r="O96" s="105">
        <v>28.4</v>
      </c>
      <c r="P96" s="105">
        <f t="shared" si="50"/>
        <v>0</v>
      </c>
      <c r="Q96" s="105">
        <v>0</v>
      </c>
      <c r="R96" s="105">
        <v>0</v>
      </c>
      <c r="S96" s="105">
        <v>0</v>
      </c>
      <c r="T96" s="158">
        <f>0.01*(O96+P96)</f>
        <v>0.284</v>
      </c>
      <c r="U96" s="105">
        <f t="shared" si="54"/>
        <v>0.019999999999999962</v>
      </c>
      <c r="V96" s="230">
        <f>+U96*6</f>
        <v>0.11999999999999977</v>
      </c>
    </row>
    <row r="97" spans="1:22" s="139" customFormat="1" ht="12.75">
      <c r="A97" s="100"/>
      <c r="B97" s="103" t="s">
        <v>129</v>
      </c>
      <c r="C97" s="103"/>
      <c r="D97" s="103"/>
      <c r="E97" s="103">
        <v>13</v>
      </c>
      <c r="F97" s="103">
        <v>12</v>
      </c>
      <c r="G97" s="106">
        <f t="shared" si="55"/>
        <v>0</v>
      </c>
      <c r="H97" s="105">
        <v>0</v>
      </c>
      <c r="I97" s="105">
        <f t="shared" si="49"/>
        <v>0</v>
      </c>
      <c r="J97" s="105">
        <v>0</v>
      </c>
      <c r="K97" s="105">
        <v>0</v>
      </c>
      <c r="L97" s="105">
        <v>0</v>
      </c>
      <c r="M97" s="105">
        <f t="shared" si="51"/>
        <v>0</v>
      </c>
      <c r="N97" s="106">
        <f t="shared" si="52"/>
        <v>0</v>
      </c>
      <c r="O97" s="105">
        <v>0</v>
      </c>
      <c r="P97" s="105">
        <f t="shared" si="50"/>
        <v>0</v>
      </c>
      <c r="Q97" s="105">
        <v>0</v>
      </c>
      <c r="R97" s="105">
        <v>0</v>
      </c>
      <c r="S97" s="105">
        <v>0</v>
      </c>
      <c r="T97" s="105">
        <f t="shared" si="53"/>
        <v>0</v>
      </c>
      <c r="U97" s="105">
        <f t="shared" si="54"/>
        <v>0</v>
      </c>
      <c r="V97" s="153">
        <f>+U97*8</f>
        <v>0</v>
      </c>
    </row>
    <row r="98" spans="1:22" s="155" customFormat="1" ht="12.75">
      <c r="A98" s="110"/>
      <c r="B98" s="159" t="s">
        <v>286</v>
      </c>
      <c r="C98" s="112"/>
      <c r="D98" s="112"/>
      <c r="E98" s="112">
        <v>6</v>
      </c>
      <c r="F98" s="112">
        <v>6</v>
      </c>
      <c r="G98" s="104">
        <f t="shared" si="55"/>
        <v>0</v>
      </c>
      <c r="H98" s="113">
        <v>0</v>
      </c>
      <c r="I98" s="113">
        <f t="shared" si="49"/>
        <v>0</v>
      </c>
      <c r="J98" s="113">
        <v>0</v>
      </c>
      <c r="K98" s="113">
        <v>0</v>
      </c>
      <c r="L98" s="113">
        <v>0</v>
      </c>
      <c r="M98" s="113">
        <f t="shared" si="51"/>
        <v>0</v>
      </c>
      <c r="N98" s="104">
        <f t="shared" si="52"/>
        <v>0</v>
      </c>
      <c r="O98" s="113">
        <v>0</v>
      </c>
      <c r="P98" s="113">
        <v>0</v>
      </c>
      <c r="Q98" s="113">
        <v>0</v>
      </c>
      <c r="R98" s="113">
        <v>0</v>
      </c>
      <c r="S98" s="113">
        <v>0</v>
      </c>
      <c r="T98" s="113">
        <f t="shared" si="53"/>
        <v>0</v>
      </c>
      <c r="U98" s="113">
        <f t="shared" si="54"/>
        <v>0</v>
      </c>
      <c r="V98" s="151">
        <f>+U98*8</f>
        <v>0</v>
      </c>
    </row>
    <row r="99" spans="1:22" s="155" customFormat="1" ht="12.75">
      <c r="A99" s="110"/>
      <c r="B99" s="159" t="s">
        <v>296</v>
      </c>
      <c r="C99" s="112"/>
      <c r="D99" s="112"/>
      <c r="E99" s="112">
        <v>3</v>
      </c>
      <c r="F99" s="112">
        <v>3</v>
      </c>
      <c r="G99" s="104">
        <f t="shared" si="55"/>
        <v>0</v>
      </c>
      <c r="H99" s="113">
        <v>0</v>
      </c>
      <c r="I99" s="113">
        <f t="shared" si="49"/>
        <v>0</v>
      </c>
      <c r="J99" s="113">
        <v>0</v>
      </c>
      <c r="K99" s="113">
        <v>0</v>
      </c>
      <c r="L99" s="113">
        <v>0</v>
      </c>
      <c r="M99" s="113">
        <f t="shared" si="51"/>
        <v>0</v>
      </c>
      <c r="N99" s="104">
        <f t="shared" si="52"/>
        <v>0</v>
      </c>
      <c r="O99" s="113">
        <v>0</v>
      </c>
      <c r="P99" s="113">
        <f t="shared" si="50"/>
        <v>0</v>
      </c>
      <c r="Q99" s="113">
        <v>0</v>
      </c>
      <c r="R99" s="113">
        <v>0</v>
      </c>
      <c r="S99" s="113">
        <v>0</v>
      </c>
      <c r="T99" s="113">
        <f t="shared" si="53"/>
        <v>0</v>
      </c>
      <c r="U99" s="113">
        <f t="shared" si="54"/>
        <v>0</v>
      </c>
      <c r="V99" s="151">
        <f>+U99*8</f>
        <v>0</v>
      </c>
    </row>
    <row r="100" spans="1:22" s="155" customFormat="1" ht="12.75">
      <c r="A100" s="110"/>
      <c r="B100" s="159" t="s">
        <v>297</v>
      </c>
      <c r="C100" s="112"/>
      <c r="D100" s="112"/>
      <c r="E100" s="112">
        <v>4</v>
      </c>
      <c r="F100" s="112">
        <v>3</v>
      </c>
      <c r="G100" s="104">
        <f t="shared" si="55"/>
        <v>0</v>
      </c>
      <c r="H100" s="113">
        <v>0</v>
      </c>
      <c r="I100" s="113">
        <f t="shared" si="49"/>
        <v>0</v>
      </c>
      <c r="J100" s="113">
        <v>0</v>
      </c>
      <c r="K100" s="113">
        <v>0</v>
      </c>
      <c r="L100" s="113">
        <v>0</v>
      </c>
      <c r="M100" s="113">
        <f t="shared" si="51"/>
        <v>0</v>
      </c>
      <c r="N100" s="104">
        <f t="shared" si="52"/>
        <v>0</v>
      </c>
      <c r="O100" s="113">
        <v>0</v>
      </c>
      <c r="P100" s="113">
        <f t="shared" si="50"/>
        <v>0</v>
      </c>
      <c r="Q100" s="113">
        <v>0</v>
      </c>
      <c r="R100" s="113">
        <v>0</v>
      </c>
      <c r="S100" s="113">
        <v>0</v>
      </c>
      <c r="T100" s="113">
        <f t="shared" si="53"/>
        <v>0</v>
      </c>
      <c r="U100" s="113">
        <f t="shared" si="54"/>
        <v>0</v>
      </c>
      <c r="V100" s="151">
        <f>+U100*8</f>
        <v>0</v>
      </c>
    </row>
    <row r="101" spans="1:22" s="139" customFormat="1" ht="12.75">
      <c r="A101" s="100"/>
      <c r="B101" s="103" t="s">
        <v>167</v>
      </c>
      <c r="C101" s="103">
        <f>SUM(C102:C103)</f>
        <v>10</v>
      </c>
      <c r="D101" s="103">
        <f aca="true" t="shared" si="56" ref="D101:V101">SUM(D102:D103)</f>
        <v>6.36</v>
      </c>
      <c r="E101" s="103">
        <f t="shared" si="56"/>
        <v>101</v>
      </c>
      <c r="F101" s="103">
        <f t="shared" si="56"/>
        <v>11</v>
      </c>
      <c r="G101" s="103">
        <f t="shared" si="56"/>
        <v>34.673300000000005</v>
      </c>
      <c r="H101" s="103">
        <f t="shared" si="56"/>
        <v>33.9</v>
      </c>
      <c r="I101" s="103">
        <f t="shared" si="56"/>
        <v>0.43</v>
      </c>
      <c r="J101" s="103">
        <f t="shared" si="56"/>
        <v>0</v>
      </c>
      <c r="K101" s="103">
        <f t="shared" si="56"/>
        <v>0.43</v>
      </c>
      <c r="L101" s="103">
        <f t="shared" si="56"/>
        <v>0</v>
      </c>
      <c r="M101" s="161">
        <f t="shared" si="56"/>
        <v>0.3433</v>
      </c>
      <c r="N101" s="161">
        <f t="shared" si="56"/>
        <v>37.21849999999999</v>
      </c>
      <c r="O101" s="161">
        <f t="shared" si="56"/>
        <v>36.419999999999995</v>
      </c>
      <c r="P101" s="161">
        <f t="shared" si="56"/>
        <v>0.43</v>
      </c>
      <c r="Q101" s="161">
        <f t="shared" si="56"/>
        <v>0</v>
      </c>
      <c r="R101" s="161">
        <f t="shared" si="56"/>
        <v>0.43</v>
      </c>
      <c r="S101" s="161">
        <f t="shared" si="56"/>
        <v>0</v>
      </c>
      <c r="T101" s="161">
        <f t="shared" si="56"/>
        <v>0.36849999999999994</v>
      </c>
      <c r="U101" s="161">
        <f t="shared" si="56"/>
        <v>0.02519999999999996</v>
      </c>
      <c r="V101" s="161">
        <f t="shared" si="56"/>
        <v>0.15119999999999975</v>
      </c>
    </row>
    <row r="102" spans="1:22" s="155" customFormat="1" ht="12.75">
      <c r="A102" s="110"/>
      <c r="B102" s="163" t="s">
        <v>261</v>
      </c>
      <c r="C102" s="112">
        <v>9</v>
      </c>
      <c r="D102" s="112">
        <v>5.4</v>
      </c>
      <c r="E102" s="112">
        <v>81</v>
      </c>
      <c r="F102" s="112">
        <v>10</v>
      </c>
      <c r="G102" s="104">
        <f t="shared" si="55"/>
        <v>30.603</v>
      </c>
      <c r="H102" s="113">
        <v>30.3</v>
      </c>
      <c r="I102" s="113">
        <f t="shared" si="49"/>
        <v>0</v>
      </c>
      <c r="J102" s="113">
        <v>0</v>
      </c>
      <c r="K102" s="113">
        <v>0</v>
      </c>
      <c r="L102" s="113">
        <v>0</v>
      </c>
      <c r="M102" s="113">
        <f t="shared" si="51"/>
        <v>0.303</v>
      </c>
      <c r="N102" s="104">
        <f>+O102+P102+T102</f>
        <v>32.875499999999995</v>
      </c>
      <c r="O102" s="113">
        <v>32.55</v>
      </c>
      <c r="P102" s="113">
        <f t="shared" si="50"/>
        <v>0</v>
      </c>
      <c r="Q102" s="113">
        <v>0</v>
      </c>
      <c r="R102" s="113">
        <v>0</v>
      </c>
      <c r="S102" s="113">
        <v>0</v>
      </c>
      <c r="T102" s="113">
        <f>0.01*(O102+P102)</f>
        <v>0.32549999999999996</v>
      </c>
      <c r="U102" s="160">
        <f>+T102-M102</f>
        <v>0.022499999999999964</v>
      </c>
      <c r="V102" s="208">
        <f>+U102*6</f>
        <v>0.1349999999999998</v>
      </c>
    </row>
    <row r="103" spans="1:22" s="155" customFormat="1" ht="12.75">
      <c r="A103" s="110"/>
      <c r="B103" s="163" t="s">
        <v>262</v>
      </c>
      <c r="C103" s="112">
        <v>1</v>
      </c>
      <c r="D103" s="112">
        <v>0.96</v>
      </c>
      <c r="E103" s="112">
        <v>20</v>
      </c>
      <c r="F103" s="112">
        <v>1</v>
      </c>
      <c r="G103" s="104">
        <f t="shared" si="55"/>
        <v>4.0703000000000005</v>
      </c>
      <c r="H103" s="113">
        <v>3.6</v>
      </c>
      <c r="I103" s="113">
        <f t="shared" si="49"/>
        <v>0.43</v>
      </c>
      <c r="J103" s="113">
        <v>0</v>
      </c>
      <c r="K103" s="113">
        <v>0.43</v>
      </c>
      <c r="L103" s="113">
        <v>0</v>
      </c>
      <c r="M103" s="113">
        <f t="shared" si="51"/>
        <v>0.0403</v>
      </c>
      <c r="N103" s="104">
        <f t="shared" si="52"/>
        <v>4.343</v>
      </c>
      <c r="O103" s="113">
        <v>3.87</v>
      </c>
      <c r="P103" s="113">
        <f t="shared" si="50"/>
        <v>0.43</v>
      </c>
      <c r="Q103" s="113">
        <v>0</v>
      </c>
      <c r="R103" s="113">
        <v>0.43</v>
      </c>
      <c r="S103" s="113">
        <v>0</v>
      </c>
      <c r="T103" s="113">
        <f t="shared" si="53"/>
        <v>0.043</v>
      </c>
      <c r="U103" s="113">
        <f>+T103-M103</f>
        <v>0.002699999999999994</v>
      </c>
      <c r="V103" s="208">
        <f>+U103*6</f>
        <v>0.016199999999999964</v>
      </c>
    </row>
    <row r="104" spans="1:22" s="139" customFormat="1" ht="12.75">
      <c r="A104" s="100"/>
      <c r="B104" s="103" t="s">
        <v>210</v>
      </c>
      <c r="C104" s="103">
        <v>3</v>
      </c>
      <c r="D104" s="103"/>
      <c r="E104" s="103">
        <v>35</v>
      </c>
      <c r="F104" s="103">
        <v>4</v>
      </c>
      <c r="G104" s="106">
        <f t="shared" si="55"/>
        <v>13.6956</v>
      </c>
      <c r="H104" s="105">
        <v>13.56</v>
      </c>
      <c r="I104" s="105">
        <f t="shared" si="49"/>
        <v>0</v>
      </c>
      <c r="J104" s="105">
        <v>0</v>
      </c>
      <c r="K104" s="105">
        <v>0</v>
      </c>
      <c r="L104" s="105">
        <v>0</v>
      </c>
      <c r="M104" s="105">
        <f t="shared" si="51"/>
        <v>0.1356</v>
      </c>
      <c r="N104" s="106">
        <f t="shared" si="52"/>
        <v>14.7157</v>
      </c>
      <c r="O104" s="105">
        <v>14.57</v>
      </c>
      <c r="P104" s="105">
        <f t="shared" si="50"/>
        <v>0</v>
      </c>
      <c r="Q104" s="105">
        <v>0</v>
      </c>
      <c r="R104" s="105">
        <v>0</v>
      </c>
      <c r="S104" s="105">
        <v>0</v>
      </c>
      <c r="T104" s="113">
        <f t="shared" si="53"/>
        <v>0.1457</v>
      </c>
      <c r="U104" s="158">
        <f t="shared" si="54"/>
        <v>0.010099999999999998</v>
      </c>
      <c r="V104" s="230">
        <f>+U104*6</f>
        <v>0.06059999999999999</v>
      </c>
    </row>
    <row r="105" spans="1:22" s="139" customFormat="1" ht="12.75">
      <c r="A105" s="100"/>
      <c r="B105" s="101" t="s">
        <v>132</v>
      </c>
      <c r="C105" s="103"/>
      <c r="D105" s="103"/>
      <c r="E105" s="103">
        <f>SUM(E106:E107)</f>
        <v>41</v>
      </c>
      <c r="F105" s="103">
        <f aca="true" t="shared" si="57" ref="F105:V105">SUM(F106:F107)</f>
        <v>40</v>
      </c>
      <c r="G105" s="103">
        <f t="shared" si="57"/>
        <v>0</v>
      </c>
      <c r="H105" s="103">
        <f t="shared" si="57"/>
        <v>0</v>
      </c>
      <c r="I105" s="103">
        <f t="shared" si="57"/>
        <v>0</v>
      </c>
      <c r="J105" s="103">
        <f t="shared" si="57"/>
        <v>0</v>
      </c>
      <c r="K105" s="103">
        <f t="shared" si="57"/>
        <v>0</v>
      </c>
      <c r="L105" s="103">
        <f t="shared" si="57"/>
        <v>0</v>
      </c>
      <c r="M105" s="130">
        <f t="shared" si="57"/>
        <v>0</v>
      </c>
      <c r="N105" s="103">
        <f t="shared" si="57"/>
        <v>17.978</v>
      </c>
      <c r="O105" s="105">
        <f>SUM(O106:O107)</f>
        <v>17.8</v>
      </c>
      <c r="P105" s="103">
        <f t="shared" si="57"/>
        <v>0</v>
      </c>
      <c r="Q105" s="105">
        <f>SUM(Q106:Q107)</f>
        <v>0</v>
      </c>
      <c r="R105" s="105">
        <f>SUM(R106:R107)</f>
        <v>0</v>
      </c>
      <c r="S105" s="103">
        <f t="shared" si="57"/>
        <v>0</v>
      </c>
      <c r="T105" s="161">
        <f t="shared" si="57"/>
        <v>0.17800000000000002</v>
      </c>
      <c r="U105" s="103">
        <f t="shared" si="57"/>
        <v>0.17800000000000002</v>
      </c>
      <c r="V105" s="177">
        <f t="shared" si="57"/>
        <v>1.068</v>
      </c>
    </row>
    <row r="106" spans="1:22" s="139" customFormat="1" ht="12.75">
      <c r="A106" s="100"/>
      <c r="B106" s="111" t="s">
        <v>334</v>
      </c>
      <c r="C106" s="103"/>
      <c r="D106" s="103"/>
      <c r="E106" s="103">
        <v>41</v>
      </c>
      <c r="F106" s="103">
        <v>40</v>
      </c>
      <c r="G106" s="106">
        <f>SUM(H106,I106,M106)</f>
        <v>0</v>
      </c>
      <c r="H106" s="105">
        <v>0</v>
      </c>
      <c r="I106" s="105">
        <f>SUM(J106:L106)</f>
        <v>0</v>
      </c>
      <c r="J106" s="105">
        <v>0</v>
      </c>
      <c r="K106" s="105">
        <v>0</v>
      </c>
      <c r="L106" s="105">
        <v>0</v>
      </c>
      <c r="M106" s="158">
        <f>0.01*(H106+I106)</f>
        <v>0</v>
      </c>
      <c r="N106" s="106">
        <f>O106+P106+T106</f>
        <v>17.978</v>
      </c>
      <c r="O106" s="105">
        <v>17.8</v>
      </c>
      <c r="P106" s="105">
        <f>SUM(Q106:S106)</f>
        <v>0</v>
      </c>
      <c r="Q106" s="105"/>
      <c r="R106" s="105"/>
      <c r="S106" s="105"/>
      <c r="T106" s="160">
        <f t="shared" si="53"/>
        <v>0.17800000000000002</v>
      </c>
      <c r="U106" s="113">
        <f>+T106-M106</f>
        <v>0.17800000000000002</v>
      </c>
      <c r="V106" s="177">
        <f>U106*6</f>
        <v>1.068</v>
      </c>
    </row>
    <row r="107" spans="1:22" s="139" customFormat="1" ht="12.75">
      <c r="A107" s="100"/>
      <c r="B107" s="111" t="s">
        <v>335</v>
      </c>
      <c r="C107" s="103"/>
      <c r="D107" s="103"/>
      <c r="E107" s="103">
        <v>0</v>
      </c>
      <c r="F107" s="103">
        <v>0</v>
      </c>
      <c r="G107" s="106">
        <f>SUM(H107,I107,M107)</f>
        <v>0</v>
      </c>
      <c r="H107" s="105">
        <v>0</v>
      </c>
      <c r="I107" s="105">
        <f>SUM(J107:L107)</f>
        <v>0</v>
      </c>
      <c r="J107" s="105">
        <v>0</v>
      </c>
      <c r="K107" s="105"/>
      <c r="L107" s="105"/>
      <c r="M107" s="158">
        <f>0.01*(H107+I107)</f>
        <v>0</v>
      </c>
      <c r="N107" s="106">
        <f>O107+P107+T107</f>
        <v>0</v>
      </c>
      <c r="O107" s="105">
        <v>0</v>
      </c>
      <c r="P107" s="105">
        <f>SUM(Q107:S107)</f>
        <v>0</v>
      </c>
      <c r="Q107" s="105">
        <v>0</v>
      </c>
      <c r="R107" s="105"/>
      <c r="S107" s="105"/>
      <c r="T107" s="160">
        <f t="shared" si="53"/>
        <v>0</v>
      </c>
      <c r="U107" s="113">
        <f>+T107-M107</f>
        <v>0</v>
      </c>
      <c r="V107" s="177">
        <f>U107*6</f>
        <v>0</v>
      </c>
    </row>
    <row r="108" spans="1:22" s="139" customFormat="1" ht="12.75">
      <c r="A108" s="100"/>
      <c r="B108" s="103" t="s">
        <v>133</v>
      </c>
      <c r="C108" s="103"/>
      <c r="D108" s="103"/>
      <c r="E108" s="103">
        <f>SUM(E109:E112)</f>
        <v>46</v>
      </c>
      <c r="F108" s="103">
        <f aca="true" t="shared" si="58" ref="F108:V108">SUM(F109:F112)</f>
        <v>12</v>
      </c>
      <c r="G108" s="161">
        <f t="shared" si="58"/>
        <v>41.908253200000004</v>
      </c>
      <c r="H108" s="103">
        <f t="shared" si="58"/>
        <v>39.9905</v>
      </c>
      <c r="I108" s="103">
        <f t="shared" si="58"/>
        <v>1.50282</v>
      </c>
      <c r="J108" s="103">
        <f t="shared" si="58"/>
        <v>0.605</v>
      </c>
      <c r="K108" s="103">
        <f t="shared" si="58"/>
        <v>0.8978200000000001</v>
      </c>
      <c r="L108" s="103">
        <f t="shared" si="58"/>
        <v>0</v>
      </c>
      <c r="M108" s="103">
        <f t="shared" si="58"/>
        <v>0.4149332</v>
      </c>
      <c r="N108" s="103">
        <f t="shared" si="58"/>
        <v>43.712396</v>
      </c>
      <c r="O108" s="103">
        <f t="shared" si="58"/>
        <v>41.665</v>
      </c>
      <c r="P108" s="103">
        <f t="shared" si="58"/>
        <v>1.6146000000000003</v>
      </c>
      <c r="Q108" s="103">
        <f t="shared" si="58"/>
        <v>1.0387000000000002</v>
      </c>
      <c r="R108" s="103">
        <f t="shared" si="58"/>
        <v>0.5759000000000001</v>
      </c>
      <c r="S108" s="103">
        <f t="shared" si="58"/>
        <v>0</v>
      </c>
      <c r="T108" s="103">
        <f t="shared" si="58"/>
        <v>0.432796</v>
      </c>
      <c r="U108" s="103">
        <f t="shared" si="58"/>
        <v>0.017862800000000012</v>
      </c>
      <c r="V108" s="177">
        <f t="shared" si="58"/>
        <v>0.10717680000000007</v>
      </c>
    </row>
    <row r="109" spans="1:22" s="155" customFormat="1" ht="12.75">
      <c r="A109" s="110"/>
      <c r="B109" s="175" t="s">
        <v>286</v>
      </c>
      <c r="C109" s="112">
        <v>0</v>
      </c>
      <c r="D109" s="112">
        <v>0</v>
      </c>
      <c r="E109" s="112">
        <v>0</v>
      </c>
      <c r="F109" s="112">
        <v>0</v>
      </c>
      <c r="G109" s="104">
        <f>SUM(H109,I109,M109)</f>
        <v>0</v>
      </c>
      <c r="H109" s="113">
        <v>0</v>
      </c>
      <c r="I109" s="113">
        <f>SUM(J109:L109)</f>
        <v>0</v>
      </c>
      <c r="J109" s="113">
        <v>0</v>
      </c>
      <c r="K109" s="113">
        <v>0</v>
      </c>
      <c r="L109" s="113">
        <v>0</v>
      </c>
      <c r="M109" s="113">
        <v>0</v>
      </c>
      <c r="N109" s="104">
        <f>O109+P109+T109</f>
        <v>0</v>
      </c>
      <c r="O109" s="113">
        <v>0</v>
      </c>
      <c r="P109" s="113">
        <f>SUM(Q109:S109)</f>
        <v>0</v>
      </c>
      <c r="Q109" s="113">
        <v>0</v>
      </c>
      <c r="R109" s="113">
        <v>0</v>
      </c>
      <c r="S109" s="113">
        <v>0</v>
      </c>
      <c r="T109" s="160">
        <f t="shared" si="53"/>
        <v>0</v>
      </c>
      <c r="U109" s="113">
        <v>0</v>
      </c>
      <c r="V109" s="208">
        <v>0</v>
      </c>
    </row>
    <row r="110" spans="1:22" s="155" customFormat="1" ht="12.75">
      <c r="A110" s="110"/>
      <c r="B110" s="175" t="s">
        <v>287</v>
      </c>
      <c r="C110" s="112">
        <v>9</v>
      </c>
      <c r="D110" s="112">
        <v>6.555</v>
      </c>
      <c r="E110" s="112">
        <v>21</v>
      </c>
      <c r="F110" s="112">
        <v>9</v>
      </c>
      <c r="G110" s="104">
        <f>SUM(H110,I110,M110)</f>
        <v>31.2234329</v>
      </c>
      <c r="H110" s="113">
        <f>24.75*1.21</f>
        <v>29.947499999999998</v>
      </c>
      <c r="I110" s="113">
        <f>SUM(J110:L110)</f>
        <v>0.96679</v>
      </c>
      <c r="J110" s="113">
        <f>0.5*1.21</f>
        <v>0.605</v>
      </c>
      <c r="K110" s="113">
        <f>0.299*1.21</f>
        <v>0.36179</v>
      </c>
      <c r="L110" s="113">
        <v>0</v>
      </c>
      <c r="M110" s="225">
        <f>0.01*(H110+I110)</f>
        <v>0.3091429</v>
      </c>
      <c r="N110" s="104">
        <f aca="true" t="shared" si="59" ref="N110:N115">O110+P110+T110</f>
        <v>32.232836999999996</v>
      </c>
      <c r="O110" s="113">
        <f>23.75*1.3</f>
        <v>30.875</v>
      </c>
      <c r="P110" s="113">
        <f aca="true" t="shared" si="60" ref="P110:P115">SUM(Q110:S110)</f>
        <v>1.0387000000000002</v>
      </c>
      <c r="Q110" s="113">
        <f>0.799*1.3</f>
        <v>1.0387000000000002</v>
      </c>
      <c r="R110" s="113">
        <v>0</v>
      </c>
      <c r="S110" s="113">
        <v>0</v>
      </c>
      <c r="T110" s="160">
        <f t="shared" si="53"/>
        <v>0.319137</v>
      </c>
      <c r="U110" s="113">
        <f>+T110-M110</f>
        <v>0.009994100000000006</v>
      </c>
      <c r="V110" s="208">
        <f>U110*6</f>
        <v>0.059964600000000035</v>
      </c>
    </row>
    <row r="111" spans="1:22" s="155" customFormat="1" ht="12.75">
      <c r="A111" s="110"/>
      <c r="B111" s="175" t="s">
        <v>288</v>
      </c>
      <c r="C111" s="112">
        <v>0</v>
      </c>
      <c r="D111" s="112">
        <v>0</v>
      </c>
      <c r="E111" s="112">
        <v>0</v>
      </c>
      <c r="F111" s="112">
        <v>0</v>
      </c>
      <c r="G111" s="104">
        <f>SUM(H111,I111,M111)</f>
        <v>0</v>
      </c>
      <c r="H111" s="113">
        <v>0</v>
      </c>
      <c r="I111" s="113">
        <f>SUM(J111:L111)</f>
        <v>0</v>
      </c>
      <c r="J111" s="113">
        <v>0</v>
      </c>
      <c r="K111" s="113">
        <v>0</v>
      </c>
      <c r="L111" s="113">
        <v>0</v>
      </c>
      <c r="M111" s="225">
        <f>0.01*(H111+I111)</f>
        <v>0</v>
      </c>
      <c r="N111" s="104">
        <f t="shared" si="59"/>
        <v>0</v>
      </c>
      <c r="O111" s="113">
        <v>0</v>
      </c>
      <c r="P111" s="113">
        <f t="shared" si="60"/>
        <v>0</v>
      </c>
      <c r="Q111" s="113">
        <v>0</v>
      </c>
      <c r="R111" s="113">
        <v>0</v>
      </c>
      <c r="S111" s="113">
        <v>0</v>
      </c>
      <c r="T111" s="160">
        <f t="shared" si="53"/>
        <v>0</v>
      </c>
      <c r="U111" s="113">
        <f>+T111-M111</f>
        <v>0</v>
      </c>
      <c r="V111" s="208">
        <f>U111*6</f>
        <v>0</v>
      </c>
    </row>
    <row r="112" spans="1:22" s="155" customFormat="1" ht="12.75">
      <c r="A112" s="110"/>
      <c r="B112" s="175" t="s">
        <v>289</v>
      </c>
      <c r="C112" s="112"/>
      <c r="D112" s="112"/>
      <c r="E112" s="112">
        <v>25</v>
      </c>
      <c r="F112" s="112">
        <v>3</v>
      </c>
      <c r="G112" s="104">
        <f>SUM(H112,I112,M112)</f>
        <v>10.684820300000002</v>
      </c>
      <c r="H112" s="113">
        <f>8.3*1.21</f>
        <v>10.043000000000001</v>
      </c>
      <c r="I112" s="113">
        <f>SUM(J112:L112)</f>
        <v>0.53603</v>
      </c>
      <c r="J112" s="113">
        <v>0</v>
      </c>
      <c r="K112" s="113">
        <f>0.443*1.21</f>
        <v>0.53603</v>
      </c>
      <c r="L112" s="113">
        <v>0</v>
      </c>
      <c r="M112" s="225">
        <f>0.01*(H112+I112)</f>
        <v>0.10579030000000002</v>
      </c>
      <c r="N112" s="104">
        <f t="shared" si="59"/>
        <v>11.479559000000002</v>
      </c>
      <c r="O112" s="113">
        <f>8.3*1.3</f>
        <v>10.790000000000001</v>
      </c>
      <c r="P112" s="113">
        <f t="shared" si="60"/>
        <v>0.5759000000000001</v>
      </c>
      <c r="Q112" s="113">
        <v>0</v>
      </c>
      <c r="R112" s="113">
        <f>0.443*1.3</f>
        <v>0.5759000000000001</v>
      </c>
      <c r="S112" s="113">
        <v>0</v>
      </c>
      <c r="T112" s="160">
        <f t="shared" si="53"/>
        <v>0.11365900000000002</v>
      </c>
      <c r="U112" s="113">
        <f>+T112-M112</f>
        <v>0.007868700000000006</v>
      </c>
      <c r="V112" s="208">
        <f>U112*6</f>
        <v>0.04721220000000004</v>
      </c>
    </row>
    <row r="113" spans="1:22" s="139" customFormat="1" ht="12.75">
      <c r="A113" s="100"/>
      <c r="B113" s="103" t="s">
        <v>237</v>
      </c>
      <c r="C113" s="103"/>
      <c r="D113" s="103"/>
      <c r="E113" s="103">
        <f>SUM(E114:E115)</f>
        <v>5</v>
      </c>
      <c r="F113" s="103">
        <f aca="true" t="shared" si="61" ref="F113:V113">SUM(F114:F115)</f>
        <v>5</v>
      </c>
      <c r="G113" s="103">
        <f t="shared" si="61"/>
        <v>16.07112</v>
      </c>
      <c r="H113" s="103">
        <f t="shared" si="61"/>
        <v>15.912</v>
      </c>
      <c r="I113" s="103">
        <f t="shared" si="61"/>
        <v>0</v>
      </c>
      <c r="J113" s="103">
        <f t="shared" si="61"/>
        <v>0</v>
      </c>
      <c r="K113" s="103">
        <f t="shared" si="61"/>
        <v>0</v>
      </c>
      <c r="L113" s="103">
        <f t="shared" si="61"/>
        <v>0</v>
      </c>
      <c r="M113" s="103">
        <f t="shared" si="61"/>
        <v>0.15912</v>
      </c>
      <c r="N113" s="103">
        <f t="shared" si="61"/>
        <v>17.26595</v>
      </c>
      <c r="O113" s="103">
        <f t="shared" si="61"/>
        <v>17.095</v>
      </c>
      <c r="P113" s="103">
        <f t="shared" si="61"/>
        <v>0</v>
      </c>
      <c r="Q113" s="103">
        <f t="shared" si="61"/>
        <v>0</v>
      </c>
      <c r="R113" s="103">
        <f t="shared" si="61"/>
        <v>0</v>
      </c>
      <c r="S113" s="103">
        <f t="shared" si="61"/>
        <v>0</v>
      </c>
      <c r="T113" s="103">
        <f t="shared" si="61"/>
        <v>0.17095</v>
      </c>
      <c r="U113" s="103">
        <f t="shared" si="61"/>
        <v>0.01182999999999998</v>
      </c>
      <c r="V113" s="177">
        <f t="shared" si="61"/>
        <v>0.07097999999999988</v>
      </c>
    </row>
    <row r="114" spans="1:22" s="155" customFormat="1" ht="12.75">
      <c r="A114" s="110"/>
      <c r="B114" s="175" t="s">
        <v>286</v>
      </c>
      <c r="C114" s="112"/>
      <c r="D114" s="112"/>
      <c r="E114" s="112">
        <v>5</v>
      </c>
      <c r="F114" s="112">
        <v>5</v>
      </c>
      <c r="G114" s="104">
        <f>+H114+I114+M114</f>
        <v>16.07112</v>
      </c>
      <c r="H114" s="113">
        <v>15.912</v>
      </c>
      <c r="I114" s="105">
        <f>SUM(J114:L114)</f>
        <v>0</v>
      </c>
      <c r="J114" s="113">
        <v>0</v>
      </c>
      <c r="K114" s="113">
        <v>0</v>
      </c>
      <c r="L114" s="113">
        <v>0</v>
      </c>
      <c r="M114" s="225">
        <f>0.01*(H114+I114)</f>
        <v>0.15912</v>
      </c>
      <c r="N114" s="104">
        <f t="shared" si="59"/>
        <v>17.26595</v>
      </c>
      <c r="O114" s="113">
        <v>17.095</v>
      </c>
      <c r="P114" s="113">
        <f t="shared" si="60"/>
        <v>0</v>
      </c>
      <c r="Q114" s="113">
        <v>0</v>
      </c>
      <c r="R114" s="113">
        <v>0</v>
      </c>
      <c r="S114" s="113">
        <v>0</v>
      </c>
      <c r="T114" s="160">
        <f t="shared" si="53"/>
        <v>0.17095</v>
      </c>
      <c r="U114" s="113">
        <f>+T114-M114</f>
        <v>0.01182999999999998</v>
      </c>
      <c r="V114" s="208">
        <f>U114*6</f>
        <v>0.07097999999999988</v>
      </c>
    </row>
    <row r="115" spans="1:22" s="155" customFormat="1" ht="12.75">
      <c r="A115" s="110"/>
      <c r="B115" s="175" t="s">
        <v>290</v>
      </c>
      <c r="C115" s="112"/>
      <c r="D115" s="112"/>
      <c r="E115" s="112">
        <v>0</v>
      </c>
      <c r="F115" s="112">
        <v>0</v>
      </c>
      <c r="G115" s="104">
        <f>+H115+I115+M115</f>
        <v>0</v>
      </c>
      <c r="H115" s="113">
        <v>0</v>
      </c>
      <c r="I115" s="105">
        <f>SUM(J115:L115)</f>
        <v>0</v>
      </c>
      <c r="J115" s="113">
        <v>0</v>
      </c>
      <c r="K115" s="113">
        <v>0</v>
      </c>
      <c r="L115" s="113">
        <v>0</v>
      </c>
      <c r="M115" s="225">
        <f>0.01*(H115+I115)</f>
        <v>0</v>
      </c>
      <c r="N115" s="104">
        <f t="shared" si="59"/>
        <v>0</v>
      </c>
      <c r="O115" s="113">
        <v>0</v>
      </c>
      <c r="P115" s="113">
        <f t="shared" si="60"/>
        <v>0</v>
      </c>
      <c r="Q115" s="113">
        <v>0</v>
      </c>
      <c r="R115" s="113">
        <v>0</v>
      </c>
      <c r="S115" s="113">
        <v>0</v>
      </c>
      <c r="T115" s="160">
        <f t="shared" si="53"/>
        <v>0</v>
      </c>
      <c r="U115" s="113">
        <f>+T115-M115</f>
        <v>0</v>
      </c>
      <c r="V115" s="208">
        <f>U115*6</f>
        <v>0</v>
      </c>
    </row>
    <row r="116" spans="1:22" s="136" customFormat="1" ht="12.75">
      <c r="A116" s="76"/>
      <c r="B116" s="93" t="s">
        <v>229</v>
      </c>
      <c r="C116" s="78"/>
      <c r="D116" s="78"/>
      <c r="E116" s="78">
        <f>+E117+E119</f>
        <v>46</v>
      </c>
      <c r="F116" s="78">
        <f aca="true" t="shared" si="62" ref="F116:V116">+SUM(F117:F119)</f>
        <v>3</v>
      </c>
      <c r="G116" s="80">
        <f t="shared" si="62"/>
        <v>0</v>
      </c>
      <c r="H116" s="80">
        <f t="shared" si="62"/>
        <v>0</v>
      </c>
      <c r="I116" s="80">
        <f t="shared" si="62"/>
        <v>0</v>
      </c>
      <c r="J116" s="80">
        <f t="shared" si="62"/>
        <v>0</v>
      </c>
      <c r="K116" s="80">
        <f t="shared" si="62"/>
        <v>0</v>
      </c>
      <c r="L116" s="80">
        <f t="shared" si="62"/>
        <v>0</v>
      </c>
      <c r="M116" s="80">
        <f t="shared" si="62"/>
        <v>0</v>
      </c>
      <c r="N116" s="80">
        <f t="shared" si="62"/>
        <v>0</v>
      </c>
      <c r="O116" s="80">
        <f t="shared" si="62"/>
        <v>0</v>
      </c>
      <c r="P116" s="80">
        <f t="shared" si="62"/>
        <v>0</v>
      </c>
      <c r="Q116" s="80">
        <f t="shared" si="62"/>
        <v>0</v>
      </c>
      <c r="R116" s="80">
        <f t="shared" si="62"/>
        <v>0</v>
      </c>
      <c r="S116" s="80">
        <f t="shared" si="62"/>
        <v>0</v>
      </c>
      <c r="T116" s="80">
        <f t="shared" si="62"/>
        <v>0</v>
      </c>
      <c r="U116" s="80">
        <f t="shared" si="62"/>
        <v>0</v>
      </c>
      <c r="V116" s="149">
        <f t="shared" si="62"/>
        <v>0</v>
      </c>
    </row>
    <row r="117" spans="1:22" s="136" customFormat="1" ht="12.75">
      <c r="A117" s="76"/>
      <c r="B117" s="119" t="s">
        <v>228</v>
      </c>
      <c r="C117" s="78"/>
      <c r="D117" s="78"/>
      <c r="E117" s="78">
        <v>0</v>
      </c>
      <c r="F117" s="78">
        <v>0</v>
      </c>
      <c r="G117" s="88">
        <f>+H117+I117+M117</f>
        <v>0</v>
      </c>
      <c r="H117" s="80">
        <v>0</v>
      </c>
      <c r="I117" s="80">
        <f>+SUM(J117:L117)</f>
        <v>0</v>
      </c>
      <c r="J117" s="80">
        <v>0</v>
      </c>
      <c r="K117" s="80">
        <v>0</v>
      </c>
      <c r="L117" s="80">
        <v>0</v>
      </c>
      <c r="M117" s="80">
        <f>0.01*(H117+I117)</f>
        <v>0</v>
      </c>
      <c r="N117" s="88">
        <f>+O117+P117+T117</f>
        <v>0</v>
      </c>
      <c r="O117" s="80">
        <v>0</v>
      </c>
      <c r="P117" s="80">
        <f t="shared" si="50"/>
        <v>0</v>
      </c>
      <c r="Q117" s="80">
        <v>0</v>
      </c>
      <c r="R117" s="80">
        <v>0</v>
      </c>
      <c r="S117" s="80">
        <v>0</v>
      </c>
      <c r="T117" s="80">
        <f>0.01*(O117+P117)</f>
        <v>0</v>
      </c>
      <c r="U117" s="80">
        <f>+T117-M117</f>
        <v>0</v>
      </c>
      <c r="V117" s="149">
        <f>+U117*8</f>
        <v>0</v>
      </c>
    </row>
    <row r="118" spans="1:22" s="136" customFormat="1" ht="12.75">
      <c r="A118" s="76"/>
      <c r="B118" s="119" t="s">
        <v>362</v>
      </c>
      <c r="C118" s="78"/>
      <c r="D118" s="78"/>
      <c r="E118" s="78"/>
      <c r="F118" s="78"/>
      <c r="G118" s="88"/>
      <c r="H118" s="80"/>
      <c r="I118" s="80"/>
      <c r="J118" s="80"/>
      <c r="K118" s="80"/>
      <c r="L118" s="80"/>
      <c r="M118" s="80"/>
      <c r="N118" s="88"/>
      <c r="O118" s="80"/>
      <c r="P118" s="80"/>
      <c r="Q118" s="80"/>
      <c r="R118" s="80"/>
      <c r="S118" s="80"/>
      <c r="T118" s="80"/>
      <c r="U118" s="80"/>
      <c r="V118" s="149"/>
    </row>
    <row r="119" spans="1:22" s="136" customFormat="1" ht="12.75">
      <c r="A119" s="76"/>
      <c r="B119" s="78" t="str">
        <f>'2c moi'!B124</f>
        <v>- VP Sở Giao thông và Vận tải</v>
      </c>
      <c r="C119" s="78"/>
      <c r="D119" s="78"/>
      <c r="E119" s="78">
        <v>46</v>
      </c>
      <c r="F119" s="78">
        <v>3</v>
      </c>
      <c r="G119" s="88">
        <f>+H119+I119+M119</f>
        <v>0</v>
      </c>
      <c r="H119" s="80">
        <v>0</v>
      </c>
      <c r="I119" s="80">
        <f>+SUM(J119:L119)</f>
        <v>0</v>
      </c>
      <c r="J119" s="80">
        <v>0</v>
      </c>
      <c r="K119" s="80">
        <v>0</v>
      </c>
      <c r="L119" s="80">
        <v>0</v>
      </c>
      <c r="M119" s="80">
        <f>0.01*(H119+I119)</f>
        <v>0</v>
      </c>
      <c r="N119" s="88">
        <f>+O119+P119+T119</f>
        <v>0</v>
      </c>
      <c r="O119" s="80">
        <v>0</v>
      </c>
      <c r="P119" s="80">
        <f t="shared" si="50"/>
        <v>0</v>
      </c>
      <c r="Q119" s="80">
        <v>0</v>
      </c>
      <c r="R119" s="80">
        <v>0</v>
      </c>
      <c r="S119" s="80">
        <v>0</v>
      </c>
      <c r="T119" s="80">
        <f>0.01*(O119+P119)</f>
        <v>0</v>
      </c>
      <c r="U119" s="80">
        <f>+T119-M119</f>
        <v>0</v>
      </c>
      <c r="V119" s="149">
        <f>+U119*8</f>
        <v>0</v>
      </c>
    </row>
    <row r="120" spans="1:22" s="167" customFormat="1" ht="12.75">
      <c r="A120" s="100"/>
      <c r="B120" s="103" t="s">
        <v>345</v>
      </c>
      <c r="C120" s="103">
        <v>1</v>
      </c>
      <c r="D120" s="103">
        <v>0.647</v>
      </c>
      <c r="E120" s="103">
        <v>3</v>
      </c>
      <c r="F120" s="103">
        <v>1</v>
      </c>
      <c r="G120" s="106">
        <f>+H120+I120+M120</f>
        <v>2.7270000000000003</v>
      </c>
      <c r="H120" s="105">
        <v>2.7</v>
      </c>
      <c r="I120" s="105">
        <f>+SUM(J120:L120)</f>
        <v>0</v>
      </c>
      <c r="J120" s="105">
        <v>0</v>
      </c>
      <c r="K120" s="105">
        <v>0</v>
      </c>
      <c r="L120" s="105">
        <v>0</v>
      </c>
      <c r="M120" s="158">
        <f>0.01*(H120+I120)</f>
        <v>0.027000000000000003</v>
      </c>
      <c r="N120" s="106"/>
      <c r="O120" s="105">
        <v>2.899</v>
      </c>
      <c r="P120" s="105">
        <f t="shared" si="50"/>
        <v>0</v>
      </c>
      <c r="Q120" s="105">
        <v>0</v>
      </c>
      <c r="R120" s="105">
        <v>0</v>
      </c>
      <c r="S120" s="105">
        <v>0</v>
      </c>
      <c r="T120" s="158">
        <f>0.01*(O120+P120)</f>
        <v>0.028990000000000002</v>
      </c>
      <c r="U120" s="178">
        <f>+T120-M120</f>
        <v>0.0019899999999999987</v>
      </c>
      <c r="V120" s="231">
        <f>+U120*6</f>
        <v>0.011939999999999992</v>
      </c>
    </row>
    <row r="121" spans="1:22" s="167" customFormat="1" ht="12.75">
      <c r="A121" s="100"/>
      <c r="B121" s="103" t="s">
        <v>343</v>
      </c>
      <c r="C121" s="103">
        <v>7</v>
      </c>
      <c r="D121" s="103"/>
      <c r="E121" s="103">
        <v>6</v>
      </c>
      <c r="F121" s="103">
        <v>7</v>
      </c>
      <c r="G121" s="106">
        <f>+H121+I121+M121</f>
        <v>21.1999</v>
      </c>
      <c r="H121" s="105">
        <v>20.24</v>
      </c>
      <c r="I121" s="105">
        <f t="shared" si="49"/>
        <v>0.75</v>
      </c>
      <c r="J121" s="105"/>
      <c r="K121" s="105">
        <v>0.75</v>
      </c>
      <c r="L121" s="105"/>
      <c r="M121" s="158">
        <f>0.01*(H121+I121)</f>
        <v>0.20989999999999998</v>
      </c>
      <c r="N121" s="106">
        <f>+O121+P121+T121</f>
        <v>22.7856</v>
      </c>
      <c r="O121" s="105">
        <v>21.75</v>
      </c>
      <c r="P121" s="105">
        <f t="shared" si="50"/>
        <v>0.81</v>
      </c>
      <c r="Q121" s="105">
        <v>0</v>
      </c>
      <c r="R121" s="105">
        <v>0.81</v>
      </c>
      <c r="S121" s="105">
        <v>0</v>
      </c>
      <c r="T121" s="158">
        <f>0.01*(O121+P121)</f>
        <v>0.2256</v>
      </c>
      <c r="U121" s="158">
        <f>+T121-M121</f>
        <v>0.01570000000000002</v>
      </c>
      <c r="V121" s="230">
        <f>+U121*6</f>
        <v>0.09420000000000012</v>
      </c>
    </row>
    <row r="122" spans="1:22" s="139" customFormat="1" ht="12.75">
      <c r="A122" s="100"/>
      <c r="B122" s="103" t="s">
        <v>135</v>
      </c>
      <c r="C122" s="103"/>
      <c r="D122" s="103"/>
      <c r="E122" s="103">
        <f aca="true" t="shared" si="63" ref="E122:V122">+SUM(E123:E130)</f>
        <v>102</v>
      </c>
      <c r="F122" s="103">
        <f t="shared" si="63"/>
        <v>36</v>
      </c>
      <c r="G122" s="105">
        <f t="shared" si="63"/>
        <v>163.2362</v>
      </c>
      <c r="H122" s="105">
        <f t="shared" si="63"/>
        <v>155.44</v>
      </c>
      <c r="I122" s="105">
        <f t="shared" si="63"/>
        <v>6.18</v>
      </c>
      <c r="J122" s="105">
        <f t="shared" si="63"/>
        <v>5.2</v>
      </c>
      <c r="K122" s="105">
        <f t="shared" si="63"/>
        <v>0.98</v>
      </c>
      <c r="L122" s="105">
        <f t="shared" si="63"/>
        <v>0</v>
      </c>
      <c r="M122" s="105">
        <f t="shared" si="63"/>
        <v>1.6162</v>
      </c>
      <c r="N122" s="105">
        <f t="shared" si="63"/>
        <v>174.2048</v>
      </c>
      <c r="O122" s="105">
        <f t="shared" si="63"/>
        <v>165.84</v>
      </c>
      <c r="P122" s="105">
        <f t="shared" si="63"/>
        <v>6.640000000000001</v>
      </c>
      <c r="Q122" s="105">
        <f t="shared" si="63"/>
        <v>5.59</v>
      </c>
      <c r="R122" s="105">
        <f t="shared" si="63"/>
        <v>1.05</v>
      </c>
      <c r="S122" s="105">
        <f t="shared" si="63"/>
        <v>0</v>
      </c>
      <c r="T122" s="105">
        <f t="shared" si="63"/>
        <v>1.7247999999999999</v>
      </c>
      <c r="U122" s="105">
        <f t="shared" si="63"/>
        <v>0.10859999999999999</v>
      </c>
      <c r="V122" s="230">
        <f t="shared" si="63"/>
        <v>0.6516</v>
      </c>
    </row>
    <row r="123" spans="1:22" s="155" customFormat="1" ht="12.75">
      <c r="A123" s="110"/>
      <c r="B123" s="175" t="s">
        <v>276</v>
      </c>
      <c r="C123" s="112"/>
      <c r="D123" s="112"/>
      <c r="E123" s="112">
        <v>46</v>
      </c>
      <c r="F123" s="112">
        <v>5</v>
      </c>
      <c r="G123" s="104">
        <f>+H123+I123+M123</f>
        <v>13.443100000000001</v>
      </c>
      <c r="H123" s="113">
        <v>13.31</v>
      </c>
      <c r="I123" s="113">
        <f t="shared" si="49"/>
        <v>0</v>
      </c>
      <c r="J123" s="113">
        <v>0</v>
      </c>
      <c r="K123" s="113">
        <v>0</v>
      </c>
      <c r="L123" s="113">
        <v>0</v>
      </c>
      <c r="M123" s="113">
        <f aca="true" t="shared" si="64" ref="M123:M130">0.01*(H123+I123)</f>
        <v>0.1331</v>
      </c>
      <c r="N123" s="104">
        <f aca="true" t="shared" si="65" ref="N123:N130">+O123+P123+T123</f>
        <v>14.443000000000001</v>
      </c>
      <c r="O123" s="113">
        <v>14.3</v>
      </c>
      <c r="P123" s="113">
        <f t="shared" si="50"/>
        <v>0</v>
      </c>
      <c r="Q123" s="113">
        <v>0</v>
      </c>
      <c r="R123" s="113">
        <v>0</v>
      </c>
      <c r="S123" s="113">
        <v>0</v>
      </c>
      <c r="T123" s="113">
        <f aca="true" t="shared" si="66" ref="T123:T130">0.01*(O123+P123)</f>
        <v>0.14300000000000002</v>
      </c>
      <c r="U123" s="160">
        <f aca="true" t="shared" si="67" ref="U123:U130">+T123-M123</f>
        <v>0.00990000000000002</v>
      </c>
      <c r="V123" s="208">
        <f>+U123*6</f>
        <v>0.05940000000000012</v>
      </c>
    </row>
    <row r="124" spans="1:22" s="155" customFormat="1" ht="12.75">
      <c r="A124" s="110"/>
      <c r="B124" s="175" t="s">
        <v>277</v>
      </c>
      <c r="C124" s="112"/>
      <c r="D124" s="112"/>
      <c r="E124" s="112">
        <v>0</v>
      </c>
      <c r="F124" s="112">
        <v>0</v>
      </c>
      <c r="G124" s="104">
        <f aca="true" t="shared" si="68" ref="G124:G130">+H124+I124+M124</f>
        <v>0</v>
      </c>
      <c r="H124" s="113">
        <v>0</v>
      </c>
      <c r="I124" s="113">
        <f t="shared" si="49"/>
        <v>0</v>
      </c>
      <c r="J124" s="113">
        <v>0</v>
      </c>
      <c r="K124" s="113">
        <v>0</v>
      </c>
      <c r="L124" s="113">
        <v>0</v>
      </c>
      <c r="M124" s="113">
        <f t="shared" si="64"/>
        <v>0</v>
      </c>
      <c r="N124" s="104">
        <f t="shared" si="65"/>
        <v>0</v>
      </c>
      <c r="O124" s="113">
        <v>0</v>
      </c>
      <c r="P124" s="113">
        <f t="shared" si="50"/>
        <v>0</v>
      </c>
      <c r="Q124" s="113">
        <v>0</v>
      </c>
      <c r="R124" s="113">
        <v>0</v>
      </c>
      <c r="S124" s="113">
        <v>0</v>
      </c>
      <c r="T124" s="113">
        <f t="shared" si="66"/>
        <v>0</v>
      </c>
      <c r="U124" s="160">
        <f t="shared" si="67"/>
        <v>0</v>
      </c>
      <c r="V124" s="208">
        <f aca="true" t="shared" si="69" ref="V124:V130">+U124*6</f>
        <v>0</v>
      </c>
    </row>
    <row r="125" spans="1:22" s="155" customFormat="1" ht="12.75">
      <c r="A125" s="110"/>
      <c r="B125" s="175" t="s">
        <v>278</v>
      </c>
      <c r="C125" s="112"/>
      <c r="D125" s="112"/>
      <c r="E125" s="112">
        <v>21</v>
      </c>
      <c r="F125" s="112">
        <v>3</v>
      </c>
      <c r="G125" s="104">
        <f t="shared" si="68"/>
        <v>77.366</v>
      </c>
      <c r="H125" s="113">
        <v>72.58</v>
      </c>
      <c r="I125" s="113">
        <f t="shared" si="49"/>
        <v>4.02</v>
      </c>
      <c r="J125" s="113">
        <v>3.63</v>
      </c>
      <c r="K125" s="113">
        <v>0.39</v>
      </c>
      <c r="L125" s="113">
        <v>0</v>
      </c>
      <c r="M125" s="113">
        <f>0.01*(H125+I125)</f>
        <v>0.766</v>
      </c>
      <c r="N125" s="104">
        <f t="shared" si="65"/>
        <v>83.1129</v>
      </c>
      <c r="O125" s="113">
        <v>77.97</v>
      </c>
      <c r="P125" s="113">
        <f t="shared" si="50"/>
        <v>4.32</v>
      </c>
      <c r="Q125" s="113">
        <v>3.9</v>
      </c>
      <c r="R125" s="113">
        <v>0.42</v>
      </c>
      <c r="S125" s="113">
        <v>0</v>
      </c>
      <c r="T125" s="113">
        <f t="shared" si="66"/>
        <v>0.8229</v>
      </c>
      <c r="U125" s="160">
        <f t="shared" si="67"/>
        <v>0.05689999999999995</v>
      </c>
      <c r="V125" s="208">
        <f t="shared" si="69"/>
        <v>0.3413999999999997</v>
      </c>
    </row>
    <row r="126" spans="1:22" s="155" customFormat="1" ht="12.75">
      <c r="A126" s="110"/>
      <c r="B126" s="175" t="s">
        <v>280</v>
      </c>
      <c r="C126" s="112"/>
      <c r="D126" s="112"/>
      <c r="E126" s="112">
        <v>3</v>
      </c>
      <c r="F126" s="112">
        <v>3</v>
      </c>
      <c r="G126" s="104">
        <f t="shared" si="68"/>
        <v>11.5342</v>
      </c>
      <c r="H126" s="113">
        <v>10.83</v>
      </c>
      <c r="I126" s="113">
        <f t="shared" si="49"/>
        <v>0.59</v>
      </c>
      <c r="J126" s="113">
        <v>0</v>
      </c>
      <c r="K126" s="113">
        <v>0.59</v>
      </c>
      <c r="L126" s="113">
        <v>0</v>
      </c>
      <c r="M126" s="113">
        <f t="shared" si="64"/>
        <v>0.1142</v>
      </c>
      <c r="N126" s="104">
        <f t="shared" si="65"/>
        <v>12.392700000000001</v>
      </c>
      <c r="O126" s="113">
        <v>11.64</v>
      </c>
      <c r="P126" s="113">
        <f t="shared" si="50"/>
        <v>0.63</v>
      </c>
      <c r="Q126" s="113">
        <v>0</v>
      </c>
      <c r="R126" s="113">
        <v>0.63</v>
      </c>
      <c r="S126" s="113">
        <v>0</v>
      </c>
      <c r="T126" s="113">
        <f t="shared" si="66"/>
        <v>0.12270000000000002</v>
      </c>
      <c r="U126" s="160">
        <f t="shared" si="67"/>
        <v>0.008500000000000021</v>
      </c>
      <c r="V126" s="208">
        <f t="shared" si="69"/>
        <v>0.05100000000000013</v>
      </c>
    </row>
    <row r="127" spans="1:22" s="155" customFormat="1" ht="12.75">
      <c r="A127" s="110"/>
      <c r="B127" s="175" t="s">
        <v>281</v>
      </c>
      <c r="C127" s="112"/>
      <c r="D127" s="112"/>
      <c r="E127" s="112">
        <v>0</v>
      </c>
      <c r="F127" s="112">
        <v>0</v>
      </c>
      <c r="G127" s="104">
        <f t="shared" si="68"/>
        <v>0</v>
      </c>
      <c r="H127" s="113">
        <v>0</v>
      </c>
      <c r="I127" s="113">
        <f t="shared" si="49"/>
        <v>0</v>
      </c>
      <c r="J127" s="113">
        <v>0</v>
      </c>
      <c r="K127" s="113">
        <v>0</v>
      </c>
      <c r="L127" s="113">
        <v>0</v>
      </c>
      <c r="M127" s="113">
        <f t="shared" si="64"/>
        <v>0</v>
      </c>
      <c r="N127" s="104">
        <f t="shared" si="65"/>
        <v>0</v>
      </c>
      <c r="O127" s="113">
        <v>0</v>
      </c>
      <c r="P127" s="113">
        <f t="shared" si="50"/>
        <v>0</v>
      </c>
      <c r="Q127" s="113">
        <v>0</v>
      </c>
      <c r="R127" s="113">
        <v>0</v>
      </c>
      <c r="S127" s="113">
        <v>0</v>
      </c>
      <c r="T127" s="113">
        <f t="shared" si="66"/>
        <v>0</v>
      </c>
      <c r="U127" s="160">
        <f t="shared" si="67"/>
        <v>0</v>
      </c>
      <c r="V127" s="208">
        <f t="shared" si="69"/>
        <v>0</v>
      </c>
    </row>
    <row r="128" spans="1:22" s="155" customFormat="1" ht="12.75">
      <c r="A128" s="110"/>
      <c r="B128" s="175" t="s">
        <v>282</v>
      </c>
      <c r="C128" s="112"/>
      <c r="D128" s="112"/>
      <c r="E128" s="112">
        <v>10</v>
      </c>
      <c r="F128" s="112">
        <v>4</v>
      </c>
      <c r="G128" s="104">
        <f t="shared" si="68"/>
        <v>10.7868</v>
      </c>
      <c r="H128" s="113">
        <v>10.68</v>
      </c>
      <c r="I128" s="113">
        <f t="shared" si="49"/>
        <v>0</v>
      </c>
      <c r="J128" s="113">
        <v>0</v>
      </c>
      <c r="K128" s="113">
        <v>0</v>
      </c>
      <c r="L128" s="113">
        <v>0</v>
      </c>
      <c r="M128" s="113">
        <f t="shared" si="64"/>
        <v>0.1068</v>
      </c>
      <c r="N128" s="104">
        <f t="shared" si="65"/>
        <v>11.594800000000001</v>
      </c>
      <c r="O128" s="113">
        <v>11.48</v>
      </c>
      <c r="P128" s="113">
        <f t="shared" si="50"/>
        <v>0</v>
      </c>
      <c r="Q128" s="113">
        <v>0</v>
      </c>
      <c r="R128" s="113">
        <v>0</v>
      </c>
      <c r="S128" s="113">
        <v>0</v>
      </c>
      <c r="T128" s="113">
        <f t="shared" si="66"/>
        <v>0.11480000000000001</v>
      </c>
      <c r="U128" s="160">
        <f t="shared" si="67"/>
        <v>0.008000000000000007</v>
      </c>
      <c r="V128" s="208">
        <f t="shared" si="69"/>
        <v>0.04800000000000004</v>
      </c>
    </row>
    <row r="129" spans="1:22" s="155" customFormat="1" ht="12.75">
      <c r="A129" s="110"/>
      <c r="B129" s="175" t="s">
        <v>283</v>
      </c>
      <c r="C129" s="112"/>
      <c r="D129" s="112"/>
      <c r="E129" s="112">
        <v>13</v>
      </c>
      <c r="F129" s="112">
        <v>13</v>
      </c>
      <c r="G129" s="104">
        <f t="shared" si="68"/>
        <v>15.7661</v>
      </c>
      <c r="H129" s="113">
        <v>15.61</v>
      </c>
      <c r="I129" s="113">
        <f t="shared" si="49"/>
        <v>0</v>
      </c>
      <c r="J129" s="113">
        <v>0</v>
      </c>
      <c r="K129" s="113">
        <v>0</v>
      </c>
      <c r="L129" s="113">
        <v>0</v>
      </c>
      <c r="M129" s="113">
        <f t="shared" si="64"/>
        <v>0.1561</v>
      </c>
      <c r="N129" s="104">
        <f t="shared" si="65"/>
        <v>15.7661</v>
      </c>
      <c r="O129" s="113">
        <v>15.61</v>
      </c>
      <c r="P129" s="113">
        <f t="shared" si="50"/>
        <v>0</v>
      </c>
      <c r="Q129" s="113">
        <v>0</v>
      </c>
      <c r="R129" s="113">
        <v>0</v>
      </c>
      <c r="S129" s="113">
        <v>0</v>
      </c>
      <c r="T129" s="113">
        <f t="shared" si="66"/>
        <v>0.1561</v>
      </c>
      <c r="U129" s="203">
        <f t="shared" si="67"/>
        <v>0</v>
      </c>
      <c r="V129" s="208">
        <f t="shared" si="69"/>
        <v>0</v>
      </c>
    </row>
    <row r="130" spans="1:22" s="155" customFormat="1" ht="12.75">
      <c r="A130" s="110"/>
      <c r="B130" s="175" t="s">
        <v>284</v>
      </c>
      <c r="C130" s="112"/>
      <c r="D130" s="112"/>
      <c r="E130" s="112">
        <v>9</v>
      </c>
      <c r="F130" s="112">
        <v>8</v>
      </c>
      <c r="G130" s="104">
        <f t="shared" si="68"/>
        <v>34.34</v>
      </c>
      <c r="H130" s="113">
        <v>32.43</v>
      </c>
      <c r="I130" s="113">
        <f t="shared" si="49"/>
        <v>1.57</v>
      </c>
      <c r="J130" s="113">
        <v>1.57</v>
      </c>
      <c r="K130" s="113">
        <v>0</v>
      </c>
      <c r="L130" s="113">
        <v>0</v>
      </c>
      <c r="M130" s="113">
        <f t="shared" si="64"/>
        <v>0.34</v>
      </c>
      <c r="N130" s="104">
        <f t="shared" si="65"/>
        <v>36.8953</v>
      </c>
      <c r="O130" s="113">
        <v>34.84</v>
      </c>
      <c r="P130" s="113">
        <f t="shared" si="50"/>
        <v>1.69</v>
      </c>
      <c r="Q130" s="113">
        <v>1.69</v>
      </c>
      <c r="R130" s="113">
        <v>0</v>
      </c>
      <c r="S130" s="113">
        <v>0</v>
      </c>
      <c r="T130" s="113">
        <f t="shared" si="66"/>
        <v>0.3653</v>
      </c>
      <c r="U130" s="160">
        <f t="shared" si="67"/>
        <v>0.02529999999999999</v>
      </c>
      <c r="V130" s="208">
        <f t="shared" si="69"/>
        <v>0.15179999999999993</v>
      </c>
    </row>
    <row r="131" spans="1:22" s="136" customFormat="1" ht="12.75">
      <c r="A131" s="76"/>
      <c r="B131" s="119"/>
      <c r="C131" s="78"/>
      <c r="D131" s="78"/>
      <c r="E131" s="78"/>
      <c r="F131" s="78"/>
      <c r="G131" s="88"/>
      <c r="H131" s="80"/>
      <c r="I131" s="80"/>
      <c r="J131" s="80"/>
      <c r="K131" s="80"/>
      <c r="L131" s="80"/>
      <c r="M131" s="80"/>
      <c r="N131" s="88"/>
      <c r="O131" s="80"/>
      <c r="P131" s="80"/>
      <c r="Q131" s="80"/>
      <c r="R131" s="80"/>
      <c r="S131" s="80"/>
      <c r="T131" s="80"/>
      <c r="U131" s="80"/>
      <c r="V131" s="149"/>
    </row>
    <row r="132" spans="1:22" s="136" customFormat="1" ht="12.75">
      <c r="A132" s="76"/>
      <c r="B132" s="77" t="s">
        <v>41</v>
      </c>
      <c r="C132" s="78"/>
      <c r="D132" s="78"/>
      <c r="E132" s="80">
        <f aca="true" t="shared" si="70" ref="E132:V132">+SUM(E133:E139)</f>
        <v>85</v>
      </c>
      <c r="F132" s="80">
        <f t="shared" si="70"/>
        <v>24</v>
      </c>
      <c r="G132" s="80">
        <f t="shared" si="70"/>
        <v>106.677614</v>
      </c>
      <c r="H132" s="80">
        <f t="shared" si="70"/>
        <v>102.2594</v>
      </c>
      <c r="I132" s="80">
        <f t="shared" si="70"/>
        <v>3.362</v>
      </c>
      <c r="J132" s="80">
        <f t="shared" si="70"/>
        <v>2.557</v>
      </c>
      <c r="K132" s="80">
        <f t="shared" si="70"/>
        <v>0.805</v>
      </c>
      <c r="L132" s="80">
        <f t="shared" si="70"/>
        <v>0</v>
      </c>
      <c r="M132" s="80">
        <f t="shared" si="70"/>
        <v>1.056214</v>
      </c>
      <c r="N132" s="80">
        <f t="shared" si="70"/>
        <v>115.12687</v>
      </c>
      <c r="O132" s="80">
        <f t="shared" si="70"/>
        <v>110.21700000000001</v>
      </c>
      <c r="P132" s="80">
        <f t="shared" si="70"/>
        <v>3.7699999999999996</v>
      </c>
      <c r="Q132" s="80">
        <f t="shared" si="70"/>
        <v>2.91</v>
      </c>
      <c r="R132" s="80">
        <f t="shared" si="70"/>
        <v>0.86</v>
      </c>
      <c r="S132" s="80">
        <f t="shared" si="70"/>
        <v>0</v>
      </c>
      <c r="T132" s="80">
        <f t="shared" si="70"/>
        <v>1.13987</v>
      </c>
      <c r="U132" s="80">
        <f t="shared" si="70"/>
        <v>0.083656</v>
      </c>
      <c r="V132" s="149">
        <f t="shared" si="70"/>
        <v>0.5019359999999999</v>
      </c>
    </row>
    <row r="133" spans="1:22" s="155" customFormat="1" ht="12.75">
      <c r="A133" s="110"/>
      <c r="B133" s="112" t="s">
        <v>171</v>
      </c>
      <c r="C133" s="112"/>
      <c r="D133" s="112"/>
      <c r="E133" s="112">
        <v>36</v>
      </c>
      <c r="F133" s="112">
        <v>2</v>
      </c>
      <c r="G133" s="104">
        <f aca="true" t="shared" si="71" ref="G133:G139">+H133+I133+M133</f>
        <v>5.716600000000001</v>
      </c>
      <c r="H133" s="113">
        <v>5.66</v>
      </c>
      <c r="I133" s="113">
        <f aca="true" t="shared" si="72" ref="I133:I139">+SUM(J133:L133)</f>
        <v>0</v>
      </c>
      <c r="J133" s="113">
        <v>0</v>
      </c>
      <c r="K133" s="113">
        <v>0</v>
      </c>
      <c r="L133" s="113">
        <v>0</v>
      </c>
      <c r="M133" s="162">
        <f aca="true" t="shared" si="73" ref="M133:M139">0.01*(H133+I133)</f>
        <v>0.056600000000000004</v>
      </c>
      <c r="N133" s="104">
        <f aca="true" t="shared" si="74" ref="N133:N139">+O133+P133+T133</f>
        <v>6.1408000000000005</v>
      </c>
      <c r="O133" s="113">
        <v>6.08</v>
      </c>
      <c r="P133" s="113">
        <f aca="true" t="shared" si="75" ref="P133:P139">+SUM(Q133:S133)</f>
        <v>0</v>
      </c>
      <c r="Q133" s="113">
        <v>0</v>
      </c>
      <c r="R133" s="113">
        <v>0</v>
      </c>
      <c r="S133" s="113">
        <v>0</v>
      </c>
      <c r="T133" s="162">
        <f aca="true" t="shared" si="76" ref="T133:T139">0.01*(O133+P133)</f>
        <v>0.0608</v>
      </c>
      <c r="U133" s="160">
        <f aca="true" t="shared" si="77" ref="U133:U139">+T133-M133</f>
        <v>0.004199999999999995</v>
      </c>
      <c r="V133" s="208">
        <f aca="true" t="shared" si="78" ref="V133:V138">+U133*6</f>
        <v>0.025199999999999972</v>
      </c>
    </row>
    <row r="134" spans="1:22" s="155" customFormat="1" ht="12.75">
      <c r="A134" s="110"/>
      <c r="B134" s="112" t="s">
        <v>349</v>
      </c>
      <c r="C134" s="112">
        <v>3</v>
      </c>
      <c r="D134" s="112">
        <v>1.360356</v>
      </c>
      <c r="E134" s="112">
        <v>22</v>
      </c>
      <c r="F134" s="112">
        <v>3</v>
      </c>
      <c r="G134" s="104">
        <f t="shared" si="71"/>
        <v>7.992534</v>
      </c>
      <c r="H134" s="113">
        <v>7.9134</v>
      </c>
      <c r="I134" s="113">
        <f t="shared" si="72"/>
        <v>0</v>
      </c>
      <c r="J134" s="113">
        <v>0</v>
      </c>
      <c r="K134" s="113">
        <v>0</v>
      </c>
      <c r="L134" s="113">
        <v>0</v>
      </c>
      <c r="M134" s="162">
        <f t="shared" si="73"/>
        <v>0.07913400000000001</v>
      </c>
      <c r="N134" s="104">
        <f t="shared" si="74"/>
        <v>8.58702</v>
      </c>
      <c r="O134" s="113">
        <v>8.502</v>
      </c>
      <c r="P134" s="113">
        <f t="shared" si="75"/>
        <v>0</v>
      </c>
      <c r="Q134" s="113">
        <v>0</v>
      </c>
      <c r="R134" s="113">
        <v>0</v>
      </c>
      <c r="S134" s="113">
        <v>0</v>
      </c>
      <c r="T134" s="162">
        <f t="shared" si="76"/>
        <v>0.08502000000000001</v>
      </c>
      <c r="U134" s="160">
        <f t="shared" si="77"/>
        <v>0.005886000000000002</v>
      </c>
      <c r="V134" s="208">
        <f t="shared" si="78"/>
        <v>0.035316000000000014</v>
      </c>
    </row>
    <row r="135" spans="1:22" s="155" customFormat="1" ht="12.75">
      <c r="A135" s="110"/>
      <c r="B135" s="112" t="str">
        <f>+'2c moi'!B147</f>
        <v>Liên hiệp các tổ chức hữu nghị</v>
      </c>
      <c r="C135" s="112">
        <v>0</v>
      </c>
      <c r="D135" s="112"/>
      <c r="E135" s="112">
        <v>0</v>
      </c>
      <c r="F135" s="112">
        <v>0</v>
      </c>
      <c r="G135" s="104">
        <f t="shared" si="71"/>
        <v>0</v>
      </c>
      <c r="H135" s="113">
        <v>0</v>
      </c>
      <c r="I135" s="113">
        <f t="shared" si="72"/>
        <v>0</v>
      </c>
      <c r="J135" s="113">
        <v>0</v>
      </c>
      <c r="K135" s="113">
        <v>0</v>
      </c>
      <c r="L135" s="113">
        <v>0</v>
      </c>
      <c r="M135" s="113">
        <f t="shared" si="73"/>
        <v>0</v>
      </c>
      <c r="N135" s="104">
        <f t="shared" si="74"/>
        <v>0</v>
      </c>
      <c r="O135" s="113">
        <v>0</v>
      </c>
      <c r="P135" s="113">
        <v>0</v>
      </c>
      <c r="Q135" s="113">
        <v>0</v>
      </c>
      <c r="R135" s="113">
        <v>0</v>
      </c>
      <c r="S135" s="113">
        <v>0</v>
      </c>
      <c r="T135" s="113">
        <f t="shared" si="76"/>
        <v>0</v>
      </c>
      <c r="U135" s="113">
        <f t="shared" si="77"/>
        <v>0</v>
      </c>
      <c r="V135" s="151">
        <f t="shared" si="78"/>
        <v>0</v>
      </c>
    </row>
    <row r="136" spans="1:22" s="155" customFormat="1" ht="12.75">
      <c r="A136" s="110"/>
      <c r="B136" s="112" t="s">
        <v>209</v>
      </c>
      <c r="C136" s="112"/>
      <c r="D136" s="112"/>
      <c r="E136" s="112">
        <v>11</v>
      </c>
      <c r="F136" s="112">
        <v>8</v>
      </c>
      <c r="G136" s="104">
        <f t="shared" si="71"/>
        <v>43.13407</v>
      </c>
      <c r="H136" s="113">
        <v>39.845</v>
      </c>
      <c r="I136" s="113">
        <f t="shared" si="72"/>
        <v>2.862</v>
      </c>
      <c r="J136" s="113">
        <v>2.057</v>
      </c>
      <c r="K136" s="113">
        <v>0.805</v>
      </c>
      <c r="L136" s="113"/>
      <c r="M136" s="113">
        <f t="shared" si="73"/>
        <v>0.42707</v>
      </c>
      <c r="N136" s="104">
        <f t="shared" si="74"/>
        <v>46.33779</v>
      </c>
      <c r="O136" s="113">
        <v>42.809</v>
      </c>
      <c r="P136" s="113">
        <f t="shared" si="75"/>
        <v>3.07</v>
      </c>
      <c r="Q136" s="113">
        <v>2.21</v>
      </c>
      <c r="R136" s="113">
        <v>0.86</v>
      </c>
      <c r="S136" s="113"/>
      <c r="T136" s="113">
        <f t="shared" si="76"/>
        <v>0.45879</v>
      </c>
      <c r="U136" s="113">
        <f t="shared" si="77"/>
        <v>0.03171999999999997</v>
      </c>
      <c r="V136" s="208">
        <f t="shared" si="78"/>
        <v>0.19031999999999982</v>
      </c>
    </row>
    <row r="137" spans="1:22" s="155" customFormat="1" ht="12.75">
      <c r="A137" s="110"/>
      <c r="B137" s="112" t="s">
        <v>172</v>
      </c>
      <c r="C137" s="112"/>
      <c r="D137" s="112"/>
      <c r="E137" s="112">
        <v>5</v>
      </c>
      <c r="F137" s="112">
        <v>2</v>
      </c>
      <c r="G137" s="104">
        <f t="shared" si="71"/>
        <v>6.20746</v>
      </c>
      <c r="H137" s="113">
        <v>6.146</v>
      </c>
      <c r="I137" s="113">
        <f t="shared" si="72"/>
        <v>0</v>
      </c>
      <c r="J137" s="113">
        <v>0</v>
      </c>
      <c r="K137" s="113">
        <v>0</v>
      </c>
      <c r="L137" s="113">
        <v>0</v>
      </c>
      <c r="M137" s="113">
        <f t="shared" si="73"/>
        <v>0.06146</v>
      </c>
      <c r="N137" s="104">
        <f t="shared" si="74"/>
        <v>6.67004</v>
      </c>
      <c r="O137" s="113">
        <v>6.604</v>
      </c>
      <c r="P137" s="113">
        <f t="shared" si="75"/>
        <v>0</v>
      </c>
      <c r="Q137" s="113">
        <v>0</v>
      </c>
      <c r="R137" s="113">
        <v>0</v>
      </c>
      <c r="S137" s="113">
        <v>0</v>
      </c>
      <c r="T137" s="113">
        <f t="shared" si="76"/>
        <v>0.06604</v>
      </c>
      <c r="U137" s="162">
        <f t="shared" si="77"/>
        <v>0.004580000000000001</v>
      </c>
      <c r="V137" s="208">
        <f t="shared" si="78"/>
        <v>0.027480000000000004</v>
      </c>
    </row>
    <row r="138" spans="1:22" s="155" customFormat="1" ht="12.75">
      <c r="A138" s="110"/>
      <c r="B138" s="112" t="s">
        <v>148</v>
      </c>
      <c r="C138" s="112">
        <v>3</v>
      </c>
      <c r="D138" s="112"/>
      <c r="E138" s="112">
        <v>3</v>
      </c>
      <c r="F138" s="112">
        <v>3</v>
      </c>
      <c r="G138" s="104">
        <f t="shared" si="71"/>
        <v>6.06</v>
      </c>
      <c r="H138" s="113">
        <v>5.5</v>
      </c>
      <c r="I138" s="113">
        <f t="shared" si="72"/>
        <v>0.5</v>
      </c>
      <c r="J138" s="113">
        <v>0.5</v>
      </c>
      <c r="K138" s="113"/>
      <c r="L138" s="113">
        <v>0</v>
      </c>
      <c r="M138" s="113">
        <f t="shared" si="73"/>
        <v>0.06</v>
      </c>
      <c r="N138" s="104">
        <f t="shared" si="74"/>
        <v>6.767</v>
      </c>
      <c r="O138" s="113">
        <v>6</v>
      </c>
      <c r="P138" s="113">
        <f t="shared" si="75"/>
        <v>0.7</v>
      </c>
      <c r="Q138" s="113">
        <v>0.7</v>
      </c>
      <c r="R138" s="113"/>
      <c r="S138" s="113">
        <v>0</v>
      </c>
      <c r="T138" s="113">
        <f t="shared" si="76"/>
        <v>0.067</v>
      </c>
      <c r="U138" s="113">
        <f t="shared" si="77"/>
        <v>0.007000000000000006</v>
      </c>
      <c r="V138" s="208">
        <f t="shared" si="78"/>
        <v>0.04200000000000004</v>
      </c>
    </row>
    <row r="139" spans="1:22" s="155" customFormat="1" ht="12.75">
      <c r="A139" s="110"/>
      <c r="B139" s="112" t="s">
        <v>193</v>
      </c>
      <c r="C139" s="112"/>
      <c r="D139" s="112"/>
      <c r="E139" s="112">
        <v>8</v>
      </c>
      <c r="F139" s="112">
        <v>6</v>
      </c>
      <c r="G139" s="104">
        <f t="shared" si="71"/>
        <v>37.56695</v>
      </c>
      <c r="H139" s="113">
        <v>37.195</v>
      </c>
      <c r="I139" s="113">
        <f t="shared" si="72"/>
        <v>0</v>
      </c>
      <c r="J139" s="113">
        <v>0</v>
      </c>
      <c r="K139" s="113">
        <v>0</v>
      </c>
      <c r="L139" s="113">
        <v>0</v>
      </c>
      <c r="M139" s="113">
        <f t="shared" si="73"/>
        <v>0.37195</v>
      </c>
      <c r="N139" s="104">
        <f t="shared" si="74"/>
        <v>40.62422</v>
      </c>
      <c r="O139" s="113">
        <v>40.222</v>
      </c>
      <c r="P139" s="113">
        <f t="shared" si="75"/>
        <v>0</v>
      </c>
      <c r="Q139" s="113">
        <v>0</v>
      </c>
      <c r="R139" s="113">
        <v>0</v>
      </c>
      <c r="S139" s="113">
        <v>0</v>
      </c>
      <c r="T139" s="113">
        <f t="shared" si="76"/>
        <v>0.40222</v>
      </c>
      <c r="U139" s="113">
        <f t="shared" si="77"/>
        <v>0.03027000000000002</v>
      </c>
      <c r="V139" s="208">
        <f>+U139*6</f>
        <v>0.18162000000000011</v>
      </c>
    </row>
    <row r="140" spans="1:22" ht="12.75" hidden="1">
      <c r="A140" s="4" t="s">
        <v>60</v>
      </c>
      <c r="B140" s="11" t="s">
        <v>96</v>
      </c>
      <c r="C140" s="5"/>
      <c r="D140" s="17"/>
      <c r="E140" s="5"/>
      <c r="F140" s="5"/>
      <c r="G140" s="5"/>
      <c r="H140" s="5"/>
      <c r="I140" s="5"/>
      <c r="J140" s="5"/>
      <c r="K140" s="5"/>
      <c r="L140" s="5"/>
      <c r="M140" s="5"/>
      <c r="N140" s="5"/>
      <c r="O140" s="5"/>
      <c r="P140" s="5"/>
      <c r="Q140" s="5"/>
      <c r="R140" s="5"/>
      <c r="S140" s="5"/>
      <c r="T140" s="5"/>
      <c r="U140" s="5"/>
      <c r="V140" s="127"/>
    </row>
    <row r="141" spans="1:22" ht="12.75" hidden="1">
      <c r="A141" s="4" t="s">
        <v>18</v>
      </c>
      <c r="B141" s="11" t="s">
        <v>97</v>
      </c>
      <c r="C141" s="5"/>
      <c r="D141" s="17"/>
      <c r="E141" s="5"/>
      <c r="F141" s="5"/>
      <c r="G141" s="5"/>
      <c r="H141" s="5"/>
      <c r="I141" s="5"/>
      <c r="J141" s="5"/>
      <c r="K141" s="5"/>
      <c r="L141" s="5"/>
      <c r="M141" s="5"/>
      <c r="N141" s="5"/>
      <c r="O141" s="5"/>
      <c r="P141" s="5"/>
      <c r="Q141" s="5"/>
      <c r="R141" s="5"/>
      <c r="S141" s="5"/>
      <c r="T141" s="5"/>
      <c r="U141" s="5"/>
      <c r="V141" s="127"/>
    </row>
    <row r="142" spans="1:22" ht="12.75" hidden="1">
      <c r="A142" s="3" t="s">
        <v>79</v>
      </c>
      <c r="B142" s="5" t="s">
        <v>98</v>
      </c>
      <c r="C142" s="5"/>
      <c r="D142" s="17"/>
      <c r="E142" s="5"/>
      <c r="F142" s="5"/>
      <c r="G142" s="5"/>
      <c r="H142" s="5"/>
      <c r="I142" s="5"/>
      <c r="J142" s="5"/>
      <c r="K142" s="5"/>
      <c r="L142" s="5"/>
      <c r="M142" s="5"/>
      <c r="N142" s="5"/>
      <c r="O142" s="5"/>
      <c r="P142" s="5"/>
      <c r="Q142" s="5"/>
      <c r="R142" s="5"/>
      <c r="S142" s="5"/>
      <c r="T142" s="5"/>
      <c r="U142" s="5"/>
      <c r="V142" s="127"/>
    </row>
    <row r="143" spans="1:22" ht="12.75" hidden="1">
      <c r="A143" s="3" t="s">
        <v>24</v>
      </c>
      <c r="B143" s="5" t="s">
        <v>99</v>
      </c>
      <c r="C143" s="5"/>
      <c r="D143" s="17"/>
      <c r="E143" s="5"/>
      <c r="F143" s="5"/>
      <c r="G143" s="5"/>
      <c r="H143" s="5"/>
      <c r="I143" s="5"/>
      <c r="J143" s="5"/>
      <c r="K143" s="5"/>
      <c r="L143" s="5"/>
      <c r="M143" s="5"/>
      <c r="N143" s="5"/>
      <c r="O143" s="5"/>
      <c r="P143" s="5"/>
      <c r="Q143" s="5"/>
      <c r="R143" s="5"/>
      <c r="S143" s="5"/>
      <c r="T143" s="5"/>
      <c r="U143" s="5"/>
      <c r="V143" s="127"/>
    </row>
    <row r="144" spans="1:22" ht="12.75" hidden="1">
      <c r="A144" s="3" t="s">
        <v>26</v>
      </c>
      <c r="B144" s="12" t="s">
        <v>100</v>
      </c>
      <c r="C144" s="5"/>
      <c r="D144" s="17"/>
      <c r="E144" s="5"/>
      <c r="F144" s="5"/>
      <c r="G144" s="5"/>
      <c r="H144" s="5"/>
      <c r="I144" s="5"/>
      <c r="J144" s="5"/>
      <c r="K144" s="5"/>
      <c r="L144" s="5"/>
      <c r="M144" s="5"/>
      <c r="N144" s="5"/>
      <c r="O144" s="5"/>
      <c r="P144" s="5"/>
      <c r="Q144" s="5"/>
      <c r="R144" s="5"/>
      <c r="S144" s="5"/>
      <c r="T144" s="5"/>
      <c r="U144" s="5"/>
      <c r="V144" s="127"/>
    </row>
    <row r="145" spans="1:22" ht="12.75" hidden="1">
      <c r="A145" s="4" t="s">
        <v>43</v>
      </c>
      <c r="B145" s="11" t="s">
        <v>101</v>
      </c>
      <c r="C145" s="5"/>
      <c r="D145" s="17"/>
      <c r="E145" s="5"/>
      <c r="F145" s="5"/>
      <c r="G145" s="5"/>
      <c r="H145" s="5"/>
      <c r="I145" s="5"/>
      <c r="J145" s="5"/>
      <c r="K145" s="5"/>
      <c r="L145" s="5"/>
      <c r="M145" s="5"/>
      <c r="N145" s="5"/>
      <c r="O145" s="5"/>
      <c r="P145" s="5"/>
      <c r="Q145" s="5"/>
      <c r="R145" s="5"/>
      <c r="S145" s="5"/>
      <c r="T145" s="5"/>
      <c r="U145" s="5"/>
      <c r="V145" s="127"/>
    </row>
    <row r="146" spans="1:22" ht="12.75" hidden="1">
      <c r="A146" s="3" t="s">
        <v>79</v>
      </c>
      <c r="B146" s="5" t="s">
        <v>102</v>
      </c>
      <c r="C146" s="5"/>
      <c r="D146" s="17"/>
      <c r="E146" s="5"/>
      <c r="F146" s="5"/>
      <c r="G146" s="5"/>
      <c r="H146" s="5"/>
      <c r="I146" s="5"/>
      <c r="J146" s="5"/>
      <c r="K146" s="5"/>
      <c r="L146" s="5"/>
      <c r="M146" s="5"/>
      <c r="N146" s="5"/>
      <c r="O146" s="5"/>
      <c r="P146" s="5"/>
      <c r="Q146" s="5"/>
      <c r="R146" s="5"/>
      <c r="S146" s="5"/>
      <c r="T146" s="5"/>
      <c r="U146" s="5"/>
      <c r="V146" s="127"/>
    </row>
    <row r="147" spans="1:22" ht="12.75" hidden="1">
      <c r="A147" s="3"/>
      <c r="B147" s="5" t="s">
        <v>103</v>
      </c>
      <c r="C147" s="5"/>
      <c r="D147" s="17"/>
      <c r="E147" s="5"/>
      <c r="F147" s="5"/>
      <c r="G147" s="5"/>
      <c r="H147" s="5"/>
      <c r="I147" s="5"/>
      <c r="J147" s="5"/>
      <c r="K147" s="5"/>
      <c r="L147" s="5"/>
      <c r="M147" s="5"/>
      <c r="N147" s="5"/>
      <c r="O147" s="5"/>
      <c r="P147" s="5"/>
      <c r="Q147" s="5"/>
      <c r="R147" s="5"/>
      <c r="S147" s="5"/>
      <c r="T147" s="5"/>
      <c r="U147" s="5"/>
      <c r="V147" s="127"/>
    </row>
    <row r="148" spans="1:22" ht="12.75" hidden="1">
      <c r="A148" s="3"/>
      <c r="B148" s="5" t="s">
        <v>104</v>
      </c>
      <c r="C148" s="5"/>
      <c r="D148" s="17"/>
      <c r="E148" s="5"/>
      <c r="F148" s="5"/>
      <c r="G148" s="5"/>
      <c r="H148" s="5"/>
      <c r="I148" s="5"/>
      <c r="J148" s="5"/>
      <c r="K148" s="5"/>
      <c r="L148" s="5"/>
      <c r="M148" s="5"/>
      <c r="N148" s="5"/>
      <c r="O148" s="5"/>
      <c r="P148" s="5"/>
      <c r="Q148" s="5"/>
      <c r="R148" s="5"/>
      <c r="S148" s="5"/>
      <c r="T148" s="5"/>
      <c r="U148" s="5"/>
      <c r="V148" s="127"/>
    </row>
    <row r="149" spans="1:22" ht="12.75" hidden="1">
      <c r="A149" s="3"/>
      <c r="B149" s="5" t="s">
        <v>105</v>
      </c>
      <c r="C149" s="5"/>
      <c r="D149" s="17"/>
      <c r="E149" s="5"/>
      <c r="F149" s="5"/>
      <c r="G149" s="5"/>
      <c r="H149" s="5"/>
      <c r="I149" s="5"/>
      <c r="J149" s="5"/>
      <c r="K149" s="5"/>
      <c r="L149" s="5"/>
      <c r="M149" s="5"/>
      <c r="N149" s="5"/>
      <c r="O149" s="5"/>
      <c r="P149" s="5"/>
      <c r="Q149" s="5"/>
      <c r="R149" s="5"/>
      <c r="S149" s="5"/>
      <c r="T149" s="5"/>
      <c r="U149" s="5"/>
      <c r="V149" s="127"/>
    </row>
    <row r="150" spans="1:22" ht="12.75" hidden="1">
      <c r="A150" s="3" t="s">
        <v>24</v>
      </c>
      <c r="B150" s="5" t="s">
        <v>106</v>
      </c>
      <c r="C150" s="5"/>
      <c r="D150" s="17"/>
      <c r="E150" s="5"/>
      <c r="F150" s="5"/>
      <c r="G150" s="5"/>
      <c r="H150" s="5"/>
      <c r="I150" s="5"/>
      <c r="J150" s="5"/>
      <c r="K150" s="5"/>
      <c r="L150" s="5"/>
      <c r="M150" s="5"/>
      <c r="N150" s="5"/>
      <c r="O150" s="5"/>
      <c r="P150" s="5"/>
      <c r="Q150" s="5"/>
      <c r="R150" s="5"/>
      <c r="S150" s="5"/>
      <c r="T150" s="5"/>
      <c r="U150" s="5"/>
      <c r="V150" s="127"/>
    </row>
    <row r="151" spans="1:22" ht="12.75" hidden="1">
      <c r="A151" s="3" t="s">
        <v>26</v>
      </c>
      <c r="B151" s="5" t="s">
        <v>107</v>
      </c>
      <c r="C151" s="5"/>
      <c r="D151" s="17"/>
      <c r="E151" s="5"/>
      <c r="F151" s="5"/>
      <c r="G151" s="5"/>
      <c r="H151" s="5"/>
      <c r="I151" s="5"/>
      <c r="J151" s="5"/>
      <c r="K151" s="5"/>
      <c r="L151" s="5"/>
      <c r="M151" s="5"/>
      <c r="N151" s="5"/>
      <c r="O151" s="5"/>
      <c r="P151" s="5"/>
      <c r="Q151" s="5"/>
      <c r="R151" s="5"/>
      <c r="S151" s="5"/>
      <c r="T151" s="5"/>
      <c r="U151" s="5"/>
      <c r="V151" s="127"/>
    </row>
    <row r="152" spans="1:22" ht="12.75" hidden="1">
      <c r="A152" s="3"/>
      <c r="B152" s="717" t="s">
        <v>108</v>
      </c>
      <c r="C152" s="717"/>
      <c r="D152" s="717"/>
      <c r="E152" s="717"/>
      <c r="F152" s="717"/>
      <c r="G152" s="717"/>
      <c r="H152" s="717"/>
      <c r="I152" s="717"/>
      <c r="J152" s="717"/>
      <c r="K152" s="5"/>
      <c r="L152" s="5"/>
      <c r="M152" s="5"/>
      <c r="N152" s="5"/>
      <c r="O152" s="5"/>
      <c r="P152" s="5"/>
      <c r="Q152" s="5"/>
      <c r="R152" s="5"/>
      <c r="S152" s="5"/>
      <c r="T152" s="5"/>
      <c r="U152" s="5"/>
      <c r="V152" s="127"/>
    </row>
    <row r="153" spans="1:22" ht="12.75" hidden="1">
      <c r="A153" s="15"/>
      <c r="B153" s="15" t="s">
        <v>109</v>
      </c>
      <c r="C153" s="1"/>
      <c r="D153" s="19"/>
      <c r="E153" s="1"/>
      <c r="F153" s="1"/>
      <c r="G153" s="1"/>
      <c r="H153" s="1"/>
      <c r="I153" s="1"/>
      <c r="J153" s="1"/>
      <c r="K153" s="1"/>
      <c r="L153" s="1"/>
      <c r="M153" s="1"/>
      <c r="N153" s="1"/>
      <c r="O153" s="1"/>
      <c r="P153" s="1"/>
      <c r="Q153" s="1"/>
      <c r="R153" s="1"/>
      <c r="S153" s="1"/>
      <c r="T153" s="1"/>
      <c r="U153" s="1"/>
      <c r="V153" s="128"/>
    </row>
    <row r="154" spans="1:22" ht="12.75" customHeight="1">
      <c r="A154" s="9"/>
      <c r="B154" s="7"/>
      <c r="C154" s="1"/>
      <c r="D154" s="19"/>
      <c r="E154" s="1"/>
      <c r="F154" s="1"/>
      <c r="G154" s="1"/>
      <c r="H154" s="1"/>
      <c r="I154" s="1"/>
      <c r="J154" s="1"/>
      <c r="K154" s="1"/>
      <c r="L154" s="1"/>
      <c r="M154" s="1"/>
      <c r="N154" s="1"/>
      <c r="O154" s="1"/>
      <c r="P154" s="707" t="s">
        <v>110</v>
      </c>
      <c r="Q154" s="707"/>
      <c r="R154" s="707"/>
      <c r="S154" s="707"/>
      <c r="T154" s="707"/>
      <c r="U154" s="707"/>
      <c r="V154" s="707"/>
    </row>
    <row r="155" spans="1:22" ht="12.75">
      <c r="A155" s="708"/>
      <c r="B155" s="708"/>
      <c r="C155" s="708"/>
      <c r="D155" s="708"/>
      <c r="E155" s="1"/>
      <c r="F155" s="1"/>
      <c r="G155" s="1"/>
      <c r="H155" s="1"/>
      <c r="I155" s="1"/>
      <c r="J155" s="1"/>
      <c r="K155" s="1"/>
      <c r="L155" s="1"/>
      <c r="M155" s="1"/>
      <c r="N155" s="1"/>
      <c r="O155" s="1"/>
      <c r="P155" s="708" t="s">
        <v>309</v>
      </c>
      <c r="Q155" s="708"/>
      <c r="R155" s="708"/>
      <c r="S155" s="708"/>
      <c r="T155" s="708"/>
      <c r="U155" s="708"/>
      <c r="V155" s="708"/>
    </row>
    <row r="156" spans="1:22" ht="12.75">
      <c r="A156" s="6"/>
      <c r="B156" s="9"/>
      <c r="C156" s="1"/>
      <c r="D156" s="19"/>
      <c r="E156" s="1"/>
      <c r="F156" s="1"/>
      <c r="G156" s="1"/>
      <c r="H156" s="1"/>
      <c r="I156" s="1"/>
      <c r="J156" s="1"/>
      <c r="K156" s="1"/>
      <c r="L156" s="1"/>
      <c r="M156" s="1"/>
      <c r="N156" s="1"/>
      <c r="O156" s="1"/>
      <c r="P156" s="709"/>
      <c r="Q156" s="709"/>
      <c r="R156" s="709"/>
      <c r="S156" s="709"/>
      <c r="T156" s="709"/>
      <c r="U156" s="709"/>
      <c r="V156" s="709"/>
    </row>
    <row r="161" spans="16:22" ht="12.75">
      <c r="P161" s="719" t="s">
        <v>310</v>
      </c>
      <c r="Q161" s="719"/>
      <c r="R161" s="719"/>
      <c r="S161" s="719"/>
      <c r="T161" s="719"/>
      <c r="U161" s="719"/>
      <c r="V161" s="719"/>
    </row>
  </sheetData>
  <sheetProtection/>
  <mergeCells count="31">
    <mergeCell ref="P154:V154"/>
    <mergeCell ref="A6:A8"/>
    <mergeCell ref="C6:D6"/>
    <mergeCell ref="P161:V161"/>
    <mergeCell ref="P156:V156"/>
    <mergeCell ref="F6:F8"/>
    <mergeCell ref="N7:N8"/>
    <mergeCell ref="P7:P8"/>
    <mergeCell ref="O7:O8"/>
    <mergeCell ref="I7:I8"/>
    <mergeCell ref="G6:M6"/>
    <mergeCell ref="Q7:S7"/>
    <mergeCell ref="V6:V8"/>
    <mergeCell ref="A155:D155"/>
    <mergeCell ref="T7:T8"/>
    <mergeCell ref="P155:V155"/>
    <mergeCell ref="J7:L7"/>
    <mergeCell ref="B152:J152"/>
    <mergeCell ref="M7:M8"/>
    <mergeCell ref="B6:B8"/>
    <mergeCell ref="E6:E8"/>
    <mergeCell ref="N6:T6"/>
    <mergeCell ref="G7:G8"/>
    <mergeCell ref="U1:V1"/>
    <mergeCell ref="A3:V3"/>
    <mergeCell ref="A4:V4"/>
    <mergeCell ref="A1:G1"/>
    <mergeCell ref="H7:H8"/>
    <mergeCell ref="C7:C8"/>
    <mergeCell ref="U6:U8"/>
    <mergeCell ref="D7:D8"/>
  </mergeCells>
  <printOptions/>
  <pageMargins left="0.748031496062992" right="0.748031496062992" top="0.44" bottom="0.57" header="0.32" footer="0.21"/>
  <pageSetup horizontalDpi="600" verticalDpi="600" orientation="landscape" paperSize="9" scale="80" r:id="rId1"/>
  <headerFooter alignWithMargins="0">
    <oddFooter>&amp;CPage &amp;P</oddFooter>
  </headerFooter>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tabColor theme="0"/>
  </sheetPr>
  <dimension ref="A1:AU167"/>
  <sheetViews>
    <sheetView view="pageBreakPreview" zoomScale="50" zoomScaleNormal="90" zoomScaleSheetLayoutView="50" zoomScalePageLayoutView="0" workbookViewId="0" topLeftCell="F145">
      <selection activeCell="AA159" sqref="AA159"/>
    </sheetView>
  </sheetViews>
  <sheetFormatPr defaultColWidth="9.140625" defaultRowHeight="12.75"/>
  <cols>
    <col min="1" max="1" width="8.28125" style="135" hidden="1" customWidth="1"/>
    <col min="2" max="2" width="5.00390625" style="135" customWidth="1"/>
    <col min="3" max="3" width="31.57421875" style="301" customWidth="1"/>
    <col min="4" max="4" width="12.140625" style="331" customWidth="1"/>
    <col min="5" max="5" width="13.28125" style="335" customWidth="1"/>
    <col min="6" max="6" width="12.140625" style="135" customWidth="1"/>
    <col min="7" max="7" width="10.00390625" style="289" customWidth="1"/>
    <col min="8" max="8" width="8.00390625" style="289" customWidth="1"/>
    <col min="9" max="9" width="11.00390625" style="289" customWidth="1"/>
    <col min="10" max="10" width="7.57421875" style="289" customWidth="1"/>
    <col min="11" max="11" width="10.28125" style="331" customWidth="1"/>
    <col min="12" max="12" width="9.57421875" style="331" customWidth="1"/>
    <col min="13" max="13" width="9.7109375" style="331" customWidth="1"/>
    <col min="14" max="14" width="7.421875" style="331" customWidth="1"/>
    <col min="15" max="16" width="8.28125" style="331" customWidth="1"/>
    <col min="17" max="17" width="6.28125" style="331" customWidth="1"/>
    <col min="18" max="18" width="6.57421875" style="331" customWidth="1"/>
    <col min="19" max="19" width="11.00390625" style="331" customWidth="1"/>
    <col min="20" max="20" width="6.421875" style="331" customWidth="1"/>
    <col min="21" max="21" width="7.7109375" style="331" customWidth="1"/>
    <col min="22" max="22" width="7.421875" style="331" customWidth="1"/>
    <col min="23" max="23" width="8.28125" style="135" customWidth="1"/>
    <col min="24" max="24" width="10.28125" style="289" customWidth="1"/>
    <col min="25" max="25" width="7.8515625" style="289" customWidth="1"/>
    <col min="26" max="26" width="11.57421875" style="135" customWidth="1"/>
    <col min="27" max="27" width="9.8515625" style="289" customWidth="1"/>
    <col min="28" max="28" width="8.140625" style="289" customWidth="1"/>
    <col min="29" max="29" width="11.00390625" style="289" customWidth="1"/>
    <col min="30" max="30" width="8.8515625" style="289" customWidth="1"/>
    <col min="31" max="31" width="8.57421875" style="135" customWidth="1"/>
    <col min="32" max="32" width="9.57421875" style="135" customWidth="1"/>
    <col min="33" max="33" width="9.28125" style="135" customWidth="1"/>
    <col min="34" max="34" width="8.421875" style="135" customWidth="1"/>
    <col min="35" max="35" width="6.8515625" style="331" customWidth="1"/>
    <col min="36" max="36" width="6.421875" style="331" customWidth="1"/>
    <col min="37" max="37" width="9.140625" style="135" customWidth="1"/>
    <col min="38" max="38" width="5.7109375" style="135" customWidth="1"/>
    <col min="39" max="39" width="5.57421875" style="135" customWidth="1"/>
    <col min="40" max="40" width="8.7109375" style="135" customWidth="1"/>
    <col min="41" max="41" width="5.7109375" style="135" customWidth="1"/>
    <col min="42" max="42" width="7.7109375" style="135" customWidth="1"/>
    <col min="43" max="43" width="10.421875" style="135" customWidth="1"/>
    <col min="44" max="44" width="9.57421875" style="135" customWidth="1"/>
    <col min="45" max="45" width="10.421875" style="135" customWidth="1"/>
    <col min="46" max="16384" width="9.140625" style="135" customWidth="1"/>
  </cols>
  <sheetData>
    <row r="1" spans="3:23" ht="13.5">
      <c r="C1" s="728"/>
      <c r="D1" s="728"/>
      <c r="E1" s="728"/>
      <c r="T1" s="731" t="s">
        <v>380</v>
      </c>
      <c r="U1" s="731"/>
      <c r="V1" s="420"/>
      <c r="W1" s="323"/>
    </row>
    <row r="2" ht="12.75">
      <c r="B2" s="132"/>
    </row>
    <row r="3" spans="1:45" ht="16.5" customHeight="1">
      <c r="A3" s="301"/>
      <c r="B3" s="729" t="s">
        <v>420</v>
      </c>
      <c r="C3" s="729"/>
      <c r="D3" s="729"/>
      <c r="E3" s="729"/>
      <c r="F3" s="729"/>
      <c r="G3" s="729"/>
      <c r="H3" s="729"/>
      <c r="I3" s="729"/>
      <c r="J3" s="729"/>
      <c r="K3" s="729"/>
      <c r="L3" s="729"/>
      <c r="M3" s="729"/>
      <c r="N3" s="729"/>
      <c r="O3" s="729"/>
      <c r="P3" s="729"/>
      <c r="Q3" s="729"/>
      <c r="R3" s="729"/>
      <c r="S3" s="729"/>
      <c r="T3" s="729"/>
      <c r="U3" s="729"/>
      <c r="V3" s="421"/>
      <c r="W3" s="305"/>
      <c r="X3" s="302"/>
      <c r="Y3" s="302"/>
      <c r="Z3" s="306"/>
      <c r="AA3" s="302"/>
      <c r="AB3" s="302"/>
      <c r="AC3" s="302"/>
      <c r="AD3" s="302"/>
      <c r="AE3" s="306"/>
      <c r="AF3" s="306"/>
      <c r="AG3" s="306"/>
      <c r="AH3" s="306"/>
      <c r="AI3" s="343"/>
      <c r="AJ3" s="343"/>
      <c r="AK3" s="306"/>
      <c r="AL3" s="306"/>
      <c r="AM3" s="306"/>
      <c r="AN3" s="306"/>
      <c r="AO3" s="306"/>
      <c r="AP3" s="306"/>
      <c r="AQ3" s="306"/>
      <c r="AR3" s="306"/>
      <c r="AS3" s="306"/>
    </row>
    <row r="4" spans="1:45" ht="12.75">
      <c r="A4" s="301"/>
      <c r="B4" s="730" t="s">
        <v>600</v>
      </c>
      <c r="C4" s="730"/>
      <c r="D4" s="730"/>
      <c r="E4" s="730"/>
      <c r="F4" s="730"/>
      <c r="G4" s="730"/>
      <c r="H4" s="730"/>
      <c r="I4" s="730"/>
      <c r="J4" s="730"/>
      <c r="K4" s="730"/>
      <c r="L4" s="730"/>
      <c r="M4" s="730"/>
      <c r="N4" s="730"/>
      <c r="O4" s="730"/>
      <c r="P4" s="730"/>
      <c r="Q4" s="730"/>
      <c r="R4" s="730"/>
      <c r="S4" s="730"/>
      <c r="T4" s="730"/>
      <c r="U4" s="730"/>
      <c r="V4" s="422"/>
      <c r="W4" s="344"/>
      <c r="X4" s="345"/>
      <c r="Y4" s="345"/>
      <c r="Z4" s="346"/>
      <c r="AA4" s="345"/>
      <c r="AB4" s="345"/>
      <c r="AC4" s="345"/>
      <c r="AD4" s="345"/>
      <c r="AE4" s="346"/>
      <c r="AF4" s="346"/>
      <c r="AG4" s="346"/>
      <c r="AH4" s="346"/>
      <c r="AI4" s="347"/>
      <c r="AJ4" s="347"/>
      <c r="AK4" s="346"/>
      <c r="AL4" s="346"/>
      <c r="AM4" s="346"/>
      <c r="AN4" s="346"/>
      <c r="AO4" s="346"/>
      <c r="AP4" s="346"/>
      <c r="AQ4" s="346"/>
      <c r="AR4" s="346"/>
      <c r="AS4" s="346"/>
    </row>
    <row r="5" spans="1:45" ht="12.75">
      <c r="A5" s="301"/>
      <c r="B5" s="348"/>
      <c r="D5" s="351"/>
      <c r="E5" s="349"/>
      <c r="F5" s="301"/>
      <c r="G5" s="350"/>
      <c r="H5" s="350"/>
      <c r="I5" s="350"/>
      <c r="J5" s="350"/>
      <c r="K5" s="351"/>
      <c r="L5" s="351"/>
      <c r="M5" s="351"/>
      <c r="N5" s="351"/>
      <c r="O5" s="351"/>
      <c r="P5" s="351"/>
      <c r="Q5" s="351"/>
      <c r="R5" s="351"/>
      <c r="S5" s="351"/>
      <c r="T5" s="347" t="s">
        <v>377</v>
      </c>
      <c r="U5" s="351"/>
      <c r="V5" s="351"/>
      <c r="W5" s="301"/>
      <c r="X5" s="350"/>
      <c r="Y5" s="350"/>
      <c r="Z5" s="301"/>
      <c r="AA5" s="350"/>
      <c r="AB5" s="350"/>
      <c r="AC5" s="350"/>
      <c r="AD5" s="350"/>
      <c r="AE5" s="301"/>
      <c r="AF5" s="301"/>
      <c r="AG5" s="301"/>
      <c r="AH5" s="301"/>
      <c r="AI5" s="351"/>
      <c r="AJ5" s="351"/>
      <c r="AK5" s="301"/>
      <c r="AL5" s="301" t="s">
        <v>377</v>
      </c>
      <c r="AM5" s="301"/>
      <c r="AN5" s="301"/>
      <c r="AO5" s="301"/>
      <c r="AP5" s="301"/>
      <c r="AQ5" s="301"/>
      <c r="AR5" s="301"/>
      <c r="AS5" s="301"/>
    </row>
    <row r="6" spans="1:45" s="305" customFormat="1" ht="39" customHeight="1">
      <c r="A6" s="724"/>
      <c r="B6" s="725" t="s">
        <v>58</v>
      </c>
      <c r="C6" s="725" t="s">
        <v>111</v>
      </c>
      <c r="D6" s="734" t="s">
        <v>378</v>
      </c>
      <c r="E6" s="736" t="s">
        <v>435</v>
      </c>
      <c r="F6" s="725" t="s">
        <v>434</v>
      </c>
      <c r="G6" s="725" t="s">
        <v>365</v>
      </c>
      <c r="H6" s="725"/>
      <c r="I6" s="725"/>
      <c r="J6" s="725"/>
      <c r="K6" s="725"/>
      <c r="L6" s="725"/>
      <c r="M6" s="725"/>
      <c r="N6" s="725"/>
      <c r="O6" s="725"/>
      <c r="P6" s="725"/>
      <c r="Q6" s="725"/>
      <c r="R6" s="725"/>
      <c r="S6" s="725"/>
      <c r="T6" s="725"/>
      <c r="U6" s="725"/>
      <c r="V6" s="725"/>
      <c r="W6" s="725" t="s">
        <v>319</v>
      </c>
      <c r="X6" s="710" t="s">
        <v>387</v>
      </c>
      <c r="Y6" s="710"/>
      <c r="Z6" s="710"/>
      <c r="AA6" s="726" t="s">
        <v>388</v>
      </c>
      <c r="AB6" s="726"/>
      <c r="AC6" s="726" t="s">
        <v>389</v>
      </c>
      <c r="AD6" s="726"/>
      <c r="AE6" s="710" t="s">
        <v>391</v>
      </c>
      <c r="AF6" s="710"/>
      <c r="AG6" s="710"/>
      <c r="AH6" s="710"/>
      <c r="AI6" s="710"/>
      <c r="AJ6" s="710"/>
      <c r="AK6" s="710"/>
      <c r="AL6" s="710"/>
      <c r="AM6" s="710"/>
      <c r="AN6" s="710"/>
      <c r="AO6" s="710"/>
      <c r="AP6" s="710"/>
      <c r="AQ6" s="710"/>
      <c r="AR6" s="710"/>
      <c r="AS6" s="710"/>
    </row>
    <row r="7" spans="1:45" s="305" customFormat="1" ht="137.25" customHeight="1">
      <c r="A7" s="724"/>
      <c r="B7" s="725"/>
      <c r="C7" s="725"/>
      <c r="D7" s="734"/>
      <c r="E7" s="736"/>
      <c r="F7" s="725"/>
      <c r="G7" s="733" t="s">
        <v>364</v>
      </c>
      <c r="H7" s="733"/>
      <c r="I7" s="733" t="s">
        <v>363</v>
      </c>
      <c r="J7" s="733"/>
      <c r="K7" s="734" t="s">
        <v>3</v>
      </c>
      <c r="L7" s="734"/>
      <c r="M7" s="727" t="s">
        <v>394</v>
      </c>
      <c r="N7" s="727"/>
      <c r="O7" s="727" t="s">
        <v>401</v>
      </c>
      <c r="P7" s="727" t="s">
        <v>395</v>
      </c>
      <c r="Q7" s="727" t="s">
        <v>396</v>
      </c>
      <c r="R7" s="727"/>
      <c r="S7" s="734" t="s">
        <v>397</v>
      </c>
      <c r="T7" s="734"/>
      <c r="U7" s="727" t="s">
        <v>398</v>
      </c>
      <c r="V7" s="727"/>
      <c r="W7" s="725"/>
      <c r="X7" s="726" t="s">
        <v>379</v>
      </c>
      <c r="Y7" s="726"/>
      <c r="Z7" s="725" t="s">
        <v>390</v>
      </c>
      <c r="AA7" s="726"/>
      <c r="AB7" s="726"/>
      <c r="AC7" s="726"/>
      <c r="AD7" s="726"/>
      <c r="AE7" s="710" t="s">
        <v>72</v>
      </c>
      <c r="AF7" s="710"/>
      <c r="AG7" s="710" t="s">
        <v>452</v>
      </c>
      <c r="AH7" s="710"/>
      <c r="AI7" s="723" t="s">
        <v>453</v>
      </c>
      <c r="AJ7" s="723"/>
      <c r="AK7" s="715" t="s">
        <v>454</v>
      </c>
      <c r="AL7" s="715" t="s">
        <v>455</v>
      </c>
      <c r="AM7" s="715"/>
      <c r="AN7" s="715" t="s">
        <v>456</v>
      </c>
      <c r="AO7" s="715"/>
      <c r="AP7" s="710" t="s">
        <v>451</v>
      </c>
      <c r="AQ7" s="710"/>
      <c r="AR7" s="710" t="s">
        <v>433</v>
      </c>
      <c r="AS7" s="710"/>
    </row>
    <row r="8" spans="1:45" s="305" customFormat="1" ht="97.5" customHeight="1">
      <c r="A8" s="724"/>
      <c r="B8" s="725"/>
      <c r="C8" s="725"/>
      <c r="D8" s="734"/>
      <c r="E8" s="736"/>
      <c r="F8" s="725"/>
      <c r="G8" s="326" t="s">
        <v>392</v>
      </c>
      <c r="H8" s="326" t="s">
        <v>393</v>
      </c>
      <c r="I8" s="326" t="s">
        <v>392</v>
      </c>
      <c r="J8" s="326" t="s">
        <v>393</v>
      </c>
      <c r="K8" s="326" t="s">
        <v>392</v>
      </c>
      <c r="L8" s="480" t="s">
        <v>393</v>
      </c>
      <c r="M8" s="480" t="s">
        <v>392</v>
      </c>
      <c r="N8" s="480" t="s">
        <v>393</v>
      </c>
      <c r="O8" s="727"/>
      <c r="P8" s="727"/>
      <c r="Q8" s="480" t="s">
        <v>392</v>
      </c>
      <c r="R8" s="480" t="s">
        <v>393</v>
      </c>
      <c r="S8" s="480" t="s">
        <v>392</v>
      </c>
      <c r="T8" s="480" t="s">
        <v>393</v>
      </c>
      <c r="U8" s="480" t="s">
        <v>392</v>
      </c>
      <c r="V8" s="480" t="s">
        <v>393</v>
      </c>
      <c r="W8" s="725"/>
      <c r="X8" s="326" t="s">
        <v>392</v>
      </c>
      <c r="Y8" s="326" t="s">
        <v>393</v>
      </c>
      <c r="Z8" s="725"/>
      <c r="AA8" s="326" t="s">
        <v>392</v>
      </c>
      <c r="AB8" s="326" t="s">
        <v>393</v>
      </c>
      <c r="AC8" s="326" t="s">
        <v>392</v>
      </c>
      <c r="AD8" s="326" t="s">
        <v>393</v>
      </c>
      <c r="AE8" s="479" t="s">
        <v>392</v>
      </c>
      <c r="AF8" s="479" t="s">
        <v>393</v>
      </c>
      <c r="AG8" s="479" t="s">
        <v>392</v>
      </c>
      <c r="AH8" s="479" t="s">
        <v>393</v>
      </c>
      <c r="AI8" s="480" t="s">
        <v>392</v>
      </c>
      <c r="AJ8" s="480" t="s">
        <v>393</v>
      </c>
      <c r="AK8" s="715"/>
      <c r="AL8" s="479" t="s">
        <v>392</v>
      </c>
      <c r="AM8" s="479" t="s">
        <v>393</v>
      </c>
      <c r="AN8" s="479" t="s">
        <v>392</v>
      </c>
      <c r="AO8" s="479" t="s">
        <v>393</v>
      </c>
      <c r="AP8" s="479" t="s">
        <v>392</v>
      </c>
      <c r="AQ8" s="479" t="s">
        <v>393</v>
      </c>
      <c r="AR8" s="479" t="s">
        <v>392</v>
      </c>
      <c r="AS8" s="479" t="s">
        <v>393</v>
      </c>
    </row>
    <row r="9" spans="1:45" s="312" customFormat="1" ht="55.5" customHeight="1">
      <c r="A9" s="467"/>
      <c r="B9" s="308" t="s">
        <v>366</v>
      </c>
      <c r="C9" s="308" t="s">
        <v>367</v>
      </c>
      <c r="D9" s="464" t="s">
        <v>79</v>
      </c>
      <c r="E9" s="341" t="s">
        <v>431</v>
      </c>
      <c r="F9" s="309" t="s">
        <v>426</v>
      </c>
      <c r="G9" s="326" t="s">
        <v>368</v>
      </c>
      <c r="H9" s="326" t="s">
        <v>369</v>
      </c>
      <c r="I9" s="327" t="s">
        <v>371</v>
      </c>
      <c r="J9" s="327" t="s">
        <v>372</v>
      </c>
      <c r="K9" s="308" t="s">
        <v>399</v>
      </c>
      <c r="L9" s="480" t="s">
        <v>400</v>
      </c>
      <c r="M9" s="423" t="s">
        <v>30</v>
      </c>
      <c r="N9" s="480" t="s">
        <v>32</v>
      </c>
      <c r="O9" s="423" t="s">
        <v>34</v>
      </c>
      <c r="P9" s="480" t="s">
        <v>36</v>
      </c>
      <c r="Q9" s="480" t="s">
        <v>38</v>
      </c>
      <c r="R9" s="480" t="s">
        <v>80</v>
      </c>
      <c r="S9" s="423" t="s">
        <v>81</v>
      </c>
      <c r="T9" s="423" t="s">
        <v>82</v>
      </c>
      <c r="U9" s="423" t="s">
        <v>83</v>
      </c>
      <c r="V9" s="423" t="s">
        <v>84</v>
      </c>
      <c r="W9" s="310" t="s">
        <v>85</v>
      </c>
      <c r="X9" s="326" t="s">
        <v>373</v>
      </c>
      <c r="Y9" s="326" t="s">
        <v>374</v>
      </c>
      <c r="Z9" s="308" t="s">
        <v>402</v>
      </c>
      <c r="AA9" s="326" t="s">
        <v>403</v>
      </c>
      <c r="AB9" s="326" t="s">
        <v>404</v>
      </c>
      <c r="AC9" s="326" t="s">
        <v>412</v>
      </c>
      <c r="AD9" s="326" t="s">
        <v>413</v>
      </c>
      <c r="AE9" s="311" t="s">
        <v>424</v>
      </c>
      <c r="AF9" s="311" t="s">
        <v>425</v>
      </c>
      <c r="AG9" s="311" t="s">
        <v>88</v>
      </c>
      <c r="AH9" s="311" t="s">
        <v>89</v>
      </c>
      <c r="AI9" s="332" t="s">
        <v>411</v>
      </c>
      <c r="AJ9" s="332" t="s">
        <v>410</v>
      </c>
      <c r="AK9" s="311" t="s">
        <v>405</v>
      </c>
      <c r="AL9" s="311" t="s">
        <v>406</v>
      </c>
      <c r="AM9" s="311" t="s">
        <v>407</v>
      </c>
      <c r="AN9" s="311" t="s">
        <v>408</v>
      </c>
      <c r="AO9" s="311" t="s">
        <v>409</v>
      </c>
      <c r="AP9" s="311" t="s">
        <v>429</v>
      </c>
      <c r="AQ9" s="311" t="s">
        <v>430</v>
      </c>
      <c r="AR9" s="311" t="s">
        <v>427</v>
      </c>
      <c r="AS9" s="311" t="s">
        <v>428</v>
      </c>
    </row>
    <row r="10" spans="1:45" s="312" customFormat="1" ht="21" customHeight="1">
      <c r="A10" s="467"/>
      <c r="B10" s="735" t="s">
        <v>525</v>
      </c>
      <c r="C10" s="735"/>
      <c r="D10" s="465">
        <f>D11+D26+D29+D33+D46+D47+D56+D92</f>
        <v>44893.886985349985</v>
      </c>
      <c r="E10" s="465">
        <f>E11+E26+E29+E33+E46+E47+E56+E92</f>
        <v>39864.740822700005</v>
      </c>
      <c r="F10" s="465">
        <f aca="true" t="shared" si="0" ref="F10:AS10">F11+F26+F29+F33+F46+F47+F56+F92</f>
        <v>39892.15346069999</v>
      </c>
      <c r="G10" s="465">
        <f t="shared" si="0"/>
        <v>13751</v>
      </c>
      <c r="H10" s="465">
        <f t="shared" si="0"/>
        <v>922</v>
      </c>
      <c r="I10" s="465">
        <f t="shared" si="0"/>
        <v>12953</v>
      </c>
      <c r="J10" s="465">
        <f t="shared" si="0"/>
        <v>880</v>
      </c>
      <c r="K10" s="465">
        <f t="shared" si="0"/>
        <v>38680.9586697</v>
      </c>
      <c r="L10" s="465">
        <f t="shared" si="0"/>
        <v>1524.424791</v>
      </c>
      <c r="M10" s="465">
        <f>M11+M26+M29+M33+M46+M47+M56+M92</f>
        <v>3782.2918999999997</v>
      </c>
      <c r="N10" s="465">
        <f t="shared" si="0"/>
        <v>166.85309999999998</v>
      </c>
      <c r="O10" s="465">
        <f t="shared" si="0"/>
        <v>49.032</v>
      </c>
      <c r="P10" s="465">
        <f t="shared" si="0"/>
        <v>100.319</v>
      </c>
      <c r="Q10" s="465">
        <f t="shared" si="0"/>
        <v>44.385522</v>
      </c>
      <c r="R10" s="465">
        <f t="shared" si="0"/>
        <v>2.34</v>
      </c>
      <c r="S10" s="465">
        <f t="shared" si="0"/>
        <v>1478.0338869999998</v>
      </c>
      <c r="T10" s="465">
        <f t="shared" si="0"/>
        <v>41.989999999999995</v>
      </c>
      <c r="U10" s="465">
        <f t="shared" si="0"/>
        <v>943.7861359499999</v>
      </c>
      <c r="V10" s="465">
        <f t="shared" si="0"/>
        <v>41.7066985</v>
      </c>
      <c r="W10" s="465">
        <f t="shared" si="0"/>
        <v>0</v>
      </c>
      <c r="X10" s="465">
        <f t="shared" si="0"/>
        <v>5160</v>
      </c>
      <c r="Y10" s="465">
        <f t="shared" si="0"/>
        <v>459.42199999999997</v>
      </c>
      <c r="Z10" s="465">
        <f t="shared" si="0"/>
        <v>1074.0359999999998</v>
      </c>
      <c r="AA10" s="465">
        <f t="shared" si="0"/>
        <v>12088</v>
      </c>
      <c r="AB10" s="465">
        <f t="shared" si="0"/>
        <v>765</v>
      </c>
      <c r="AC10" s="465">
        <f t="shared" si="0"/>
        <v>11144.1997</v>
      </c>
      <c r="AD10" s="465">
        <f t="shared" si="0"/>
        <v>732</v>
      </c>
      <c r="AE10" s="465">
        <f t="shared" si="0"/>
        <v>3365.7588450000007</v>
      </c>
      <c r="AF10" s="465">
        <f t="shared" si="0"/>
        <v>223.652784</v>
      </c>
      <c r="AG10" s="465">
        <f t="shared" si="0"/>
        <v>3063.1325</v>
      </c>
      <c r="AH10" s="465">
        <f t="shared" si="0"/>
        <v>217.98919999999998</v>
      </c>
      <c r="AI10" s="465">
        <f t="shared" si="0"/>
        <v>269.30199999999996</v>
      </c>
      <c r="AJ10" s="465">
        <f t="shared" si="0"/>
        <v>3.4492000000000003</v>
      </c>
      <c r="AK10" s="465">
        <f t="shared" si="0"/>
        <v>69.89800000000001</v>
      </c>
      <c r="AL10" s="465">
        <f t="shared" si="0"/>
        <v>34.187000000000005</v>
      </c>
      <c r="AM10" s="465">
        <f t="shared" si="0"/>
        <v>4.2872</v>
      </c>
      <c r="AN10" s="465">
        <f t="shared" si="0"/>
        <v>165.856</v>
      </c>
      <c r="AO10" s="465">
        <f t="shared" si="0"/>
        <v>0.06</v>
      </c>
      <c r="AP10" s="465">
        <f t="shared" si="0"/>
        <v>33.324345</v>
      </c>
      <c r="AQ10" s="465">
        <f t="shared" si="0"/>
        <v>2.214384</v>
      </c>
      <c r="AR10" s="465">
        <f t="shared" si="0"/>
        <v>199.94607</v>
      </c>
      <c r="AS10" s="465">
        <f t="shared" si="0"/>
        <v>13.286304</v>
      </c>
    </row>
    <row r="11" spans="1:47" s="132" customFormat="1" ht="12.75">
      <c r="A11" s="468"/>
      <c r="B11" s="479" t="s">
        <v>79</v>
      </c>
      <c r="C11" s="307" t="s">
        <v>306</v>
      </c>
      <c r="D11" s="352">
        <v>14220.296639999982</v>
      </c>
      <c r="E11" s="353">
        <f>E12+E14</f>
        <v>14083.684800000003</v>
      </c>
      <c r="F11" s="352">
        <f aca="true" t="shared" si="1" ref="F11:AS11">F12+F14</f>
        <v>13994.640000000001</v>
      </c>
      <c r="G11" s="374">
        <f t="shared" si="1"/>
        <v>4342</v>
      </c>
      <c r="H11" s="374">
        <f t="shared" si="1"/>
        <v>284</v>
      </c>
      <c r="I11" s="374">
        <f t="shared" si="1"/>
        <v>4295</v>
      </c>
      <c r="J11" s="374">
        <f t="shared" si="1"/>
        <v>294</v>
      </c>
      <c r="K11" s="352">
        <f t="shared" si="1"/>
        <v>13634.742000000002</v>
      </c>
      <c r="L11" s="352">
        <f t="shared" si="1"/>
        <v>359.898</v>
      </c>
      <c r="M11" s="352">
        <f t="shared" si="1"/>
        <v>1264.2839999999999</v>
      </c>
      <c r="N11" s="352">
        <f t="shared" si="1"/>
        <v>46.857</v>
      </c>
      <c r="O11" s="352">
        <f t="shared" si="1"/>
        <v>18.23</v>
      </c>
      <c r="P11" s="352">
        <f t="shared" si="1"/>
        <v>25.572</v>
      </c>
      <c r="Q11" s="352">
        <f t="shared" si="1"/>
        <v>12.217</v>
      </c>
      <c r="R11" s="352">
        <f t="shared" si="1"/>
        <v>0.288</v>
      </c>
      <c r="S11" s="352">
        <f t="shared" si="1"/>
        <v>602.398</v>
      </c>
      <c r="T11" s="352">
        <f t="shared" si="1"/>
        <v>1.29</v>
      </c>
      <c r="U11" s="352">
        <f t="shared" si="1"/>
        <v>349.756</v>
      </c>
      <c r="V11" s="352">
        <f t="shared" si="1"/>
        <v>11.548</v>
      </c>
      <c r="W11" s="352">
        <f t="shared" si="1"/>
        <v>0</v>
      </c>
      <c r="X11" s="352">
        <f t="shared" si="1"/>
        <v>4175</v>
      </c>
      <c r="Y11" s="352">
        <f t="shared" si="1"/>
        <v>288</v>
      </c>
      <c r="Z11" s="352">
        <f t="shared" si="1"/>
        <v>503.79</v>
      </c>
      <c r="AA11" s="352">
        <f t="shared" si="1"/>
        <v>4265</v>
      </c>
      <c r="AB11" s="352">
        <f t="shared" si="1"/>
        <v>284</v>
      </c>
      <c r="AC11" s="352">
        <f t="shared" si="1"/>
        <v>4303</v>
      </c>
      <c r="AD11" s="352">
        <f t="shared" si="1"/>
        <v>295</v>
      </c>
      <c r="AE11" s="352">
        <f t="shared" si="1"/>
        <v>1449.55301</v>
      </c>
      <c r="AF11" s="352">
        <f t="shared" si="1"/>
        <v>49.36779</v>
      </c>
      <c r="AG11" s="352">
        <f t="shared" si="1"/>
        <v>1235.769</v>
      </c>
      <c r="AH11" s="352">
        <f t="shared" si="1"/>
        <v>48.251</v>
      </c>
      <c r="AI11" s="352">
        <f t="shared" si="1"/>
        <v>199.432</v>
      </c>
      <c r="AJ11" s="352">
        <f t="shared" si="1"/>
        <v>0.628</v>
      </c>
      <c r="AK11" s="352">
        <f t="shared" si="1"/>
        <v>25.239</v>
      </c>
      <c r="AL11" s="352">
        <f t="shared" si="1"/>
        <v>11.217</v>
      </c>
      <c r="AM11" s="352">
        <f t="shared" si="1"/>
        <v>0.598</v>
      </c>
      <c r="AN11" s="352">
        <f t="shared" si="1"/>
        <v>162.976</v>
      </c>
      <c r="AO11" s="352">
        <f t="shared" si="1"/>
        <v>0.03</v>
      </c>
      <c r="AP11" s="352">
        <f t="shared" si="1"/>
        <v>14.352010000000002</v>
      </c>
      <c r="AQ11" s="352">
        <f t="shared" si="1"/>
        <v>0.48879</v>
      </c>
      <c r="AR11" s="352">
        <f t="shared" si="1"/>
        <v>86.11206000000001</v>
      </c>
      <c r="AS11" s="352">
        <f t="shared" si="1"/>
        <v>2.93274</v>
      </c>
      <c r="AU11" s="140"/>
    </row>
    <row r="12" spans="1:47" s="335" customFormat="1" ht="12.75">
      <c r="A12" s="469"/>
      <c r="B12" s="481"/>
      <c r="C12" s="336" t="s">
        <v>198</v>
      </c>
      <c r="D12" s="342">
        <v>12633.170399999983</v>
      </c>
      <c r="E12" s="342">
        <f>SUM(E13)</f>
        <v>12744.556800000002</v>
      </c>
      <c r="F12" s="342">
        <f aca="true" t="shared" si="2" ref="F12:AS12">SUM(F13)</f>
        <v>12665.160000000002</v>
      </c>
      <c r="G12" s="370">
        <f t="shared" si="2"/>
        <v>3951</v>
      </c>
      <c r="H12" s="370">
        <f t="shared" si="2"/>
        <v>235</v>
      </c>
      <c r="I12" s="370">
        <f t="shared" si="2"/>
        <v>3932</v>
      </c>
      <c r="J12" s="370">
        <f t="shared" si="2"/>
        <v>249</v>
      </c>
      <c r="K12" s="342">
        <f t="shared" si="2"/>
        <v>12385.320000000002</v>
      </c>
      <c r="L12" s="342">
        <f t="shared" si="2"/>
        <v>279.84000000000003</v>
      </c>
      <c r="M12" s="342">
        <f t="shared" si="2"/>
        <v>1144.02</v>
      </c>
      <c r="N12" s="342">
        <f t="shared" si="2"/>
        <v>37.22</v>
      </c>
      <c r="O12" s="342">
        <f t="shared" si="2"/>
        <v>18.23</v>
      </c>
      <c r="P12" s="342">
        <f t="shared" si="2"/>
        <v>20.52</v>
      </c>
      <c r="Q12" s="342">
        <f t="shared" si="2"/>
        <v>11</v>
      </c>
      <c r="R12" s="342">
        <f t="shared" si="2"/>
        <v>0.26999999999999996</v>
      </c>
      <c r="S12" s="342">
        <f t="shared" si="2"/>
        <v>552.63</v>
      </c>
      <c r="T12" s="342">
        <f t="shared" si="2"/>
        <v>0.24</v>
      </c>
      <c r="U12" s="342">
        <f t="shared" si="2"/>
        <v>317.82</v>
      </c>
      <c r="V12" s="342">
        <f t="shared" si="2"/>
        <v>8.91</v>
      </c>
      <c r="W12" s="342">
        <f t="shared" si="2"/>
        <v>0</v>
      </c>
      <c r="X12" s="342">
        <f t="shared" si="2"/>
        <v>3881</v>
      </c>
      <c r="Y12" s="342">
        <f t="shared" si="2"/>
        <v>249</v>
      </c>
      <c r="Z12" s="342">
        <f t="shared" si="2"/>
        <v>313.05</v>
      </c>
      <c r="AA12" s="342">
        <f t="shared" si="2"/>
        <v>3951</v>
      </c>
      <c r="AB12" s="342">
        <f t="shared" si="2"/>
        <v>235</v>
      </c>
      <c r="AC12" s="342">
        <f t="shared" si="2"/>
        <v>3947</v>
      </c>
      <c r="AD12" s="342">
        <f t="shared" si="2"/>
        <v>250</v>
      </c>
      <c r="AE12" s="342">
        <f t="shared" si="2"/>
        <v>1298.3348</v>
      </c>
      <c r="AF12" s="342">
        <f t="shared" si="2"/>
        <v>38.178</v>
      </c>
      <c r="AG12" s="342">
        <f t="shared" si="2"/>
        <v>1112.5</v>
      </c>
      <c r="AH12" s="342">
        <f t="shared" si="2"/>
        <v>37.22</v>
      </c>
      <c r="AI12" s="342">
        <f t="shared" si="2"/>
        <v>172.98</v>
      </c>
      <c r="AJ12" s="342">
        <f t="shared" si="2"/>
        <v>0.58</v>
      </c>
      <c r="AK12" s="342">
        <f t="shared" si="2"/>
        <v>19.59</v>
      </c>
      <c r="AL12" s="342">
        <f t="shared" si="2"/>
        <v>10.16</v>
      </c>
      <c r="AM12" s="342">
        <f t="shared" si="2"/>
        <v>0.58</v>
      </c>
      <c r="AN12" s="342">
        <f t="shared" si="2"/>
        <v>143.23</v>
      </c>
      <c r="AO12" s="342">
        <f t="shared" si="2"/>
        <v>0</v>
      </c>
      <c r="AP12" s="342">
        <f t="shared" si="2"/>
        <v>12.854800000000001</v>
      </c>
      <c r="AQ12" s="342">
        <f t="shared" si="2"/>
        <v>0.378</v>
      </c>
      <c r="AR12" s="342">
        <f t="shared" si="2"/>
        <v>77.12880000000001</v>
      </c>
      <c r="AS12" s="342">
        <f t="shared" si="2"/>
        <v>2.268</v>
      </c>
      <c r="AU12" s="337"/>
    </row>
    <row r="13" spans="1:47" ht="12.75">
      <c r="A13" s="470"/>
      <c r="B13" s="294"/>
      <c r="C13" s="284" t="str">
        <f>2d!B13</f>
        <v>- Sở GDĐT</v>
      </c>
      <c r="D13" s="314">
        <v>12633.170399999983</v>
      </c>
      <c r="E13" s="342">
        <f>K13+L13+AR13+AS13</f>
        <v>12744.556800000002</v>
      </c>
      <c r="F13" s="314">
        <f>K13+L13</f>
        <v>12665.160000000002</v>
      </c>
      <c r="G13" s="329">
        <f>4016-65</f>
        <v>3951</v>
      </c>
      <c r="H13" s="329">
        <f>241-6</f>
        <v>235</v>
      </c>
      <c r="I13" s="329">
        <f>3997-65</f>
        <v>3932</v>
      </c>
      <c r="J13" s="329">
        <f>255-6</f>
        <v>249</v>
      </c>
      <c r="K13" s="342">
        <f>(M13+O13+P13+Q13+S13+U13)*6</f>
        <v>12385.320000000002</v>
      </c>
      <c r="L13" s="317">
        <f>(N13+R13+T13+V13)*6</f>
        <v>279.84000000000003</v>
      </c>
      <c r="M13" s="314">
        <f>1166.91-22.89</f>
        <v>1144.02</v>
      </c>
      <c r="N13" s="314">
        <f>38.44-1.22</f>
        <v>37.22</v>
      </c>
      <c r="O13" s="314">
        <v>18.23</v>
      </c>
      <c r="P13" s="314">
        <f>21.39-0.87</f>
        <v>20.52</v>
      </c>
      <c r="Q13" s="314">
        <f>11.78-0.78</f>
        <v>11</v>
      </c>
      <c r="R13" s="314">
        <f>0.29-0.02</f>
        <v>0.26999999999999996</v>
      </c>
      <c r="S13" s="314">
        <f>559.5-6.87</f>
        <v>552.63</v>
      </c>
      <c r="T13" s="314">
        <v>0.24</v>
      </c>
      <c r="U13" s="314">
        <f>323.71-5.89</f>
        <v>317.82</v>
      </c>
      <c r="V13" s="314">
        <f>9.21-0.3</f>
        <v>8.91</v>
      </c>
      <c r="W13" s="314"/>
      <c r="X13" s="329">
        <f>3945-64</f>
        <v>3881</v>
      </c>
      <c r="Y13" s="329">
        <f>255-6</f>
        <v>249</v>
      </c>
      <c r="Z13" s="314">
        <f>313.2-0.15</f>
        <v>313.05</v>
      </c>
      <c r="AA13" s="329">
        <f>4016-65</f>
        <v>3951</v>
      </c>
      <c r="AB13" s="329">
        <f>241-6</f>
        <v>235</v>
      </c>
      <c r="AC13" s="329">
        <f>4012-65</f>
        <v>3947</v>
      </c>
      <c r="AD13" s="329">
        <f>256-6</f>
        <v>250</v>
      </c>
      <c r="AE13" s="314">
        <f>AG13+AI13+AP13</f>
        <v>1298.3348</v>
      </c>
      <c r="AF13" s="314">
        <f>AH13+AJ13+AQ13</f>
        <v>38.178</v>
      </c>
      <c r="AG13" s="314">
        <v>1112.5</v>
      </c>
      <c r="AH13" s="314">
        <f>38.44-1.22</f>
        <v>37.22</v>
      </c>
      <c r="AI13" s="314">
        <f>AK13+AL13+AN13</f>
        <v>172.98</v>
      </c>
      <c r="AJ13" s="314">
        <f>AM13+AO13</f>
        <v>0.58</v>
      </c>
      <c r="AK13" s="314">
        <v>19.59</v>
      </c>
      <c r="AL13" s="314">
        <v>10.16</v>
      </c>
      <c r="AM13" s="314">
        <f>0.6-0.02</f>
        <v>0.58</v>
      </c>
      <c r="AN13" s="314">
        <v>143.23</v>
      </c>
      <c r="AO13" s="314">
        <v>0</v>
      </c>
      <c r="AP13" s="314">
        <f>(AG13+AI13)*1%</f>
        <v>12.854800000000001</v>
      </c>
      <c r="AQ13" s="314">
        <f>(AH13+AJ13)*1%</f>
        <v>0.378</v>
      </c>
      <c r="AR13" s="314">
        <f>AP13*6</f>
        <v>77.12880000000001</v>
      </c>
      <c r="AS13" s="314">
        <f>AQ13*6</f>
        <v>2.268</v>
      </c>
      <c r="AU13" s="140"/>
    </row>
    <row r="14" spans="1:47" s="335" customFormat="1" ht="12.75">
      <c r="A14" s="469"/>
      <c r="B14" s="354"/>
      <c r="C14" s="336" t="s">
        <v>199</v>
      </c>
      <c r="D14" s="342">
        <v>1587.1262399999998</v>
      </c>
      <c r="E14" s="342">
        <f>SUM(E15:E25)</f>
        <v>1339.128</v>
      </c>
      <c r="F14" s="342">
        <f aca="true" t="shared" si="3" ref="F14:AS14">SUM(F15:F25)</f>
        <v>1329.48</v>
      </c>
      <c r="G14" s="370">
        <f t="shared" si="3"/>
        <v>391</v>
      </c>
      <c r="H14" s="370">
        <f t="shared" si="3"/>
        <v>49</v>
      </c>
      <c r="I14" s="370">
        <f t="shared" si="3"/>
        <v>363</v>
      </c>
      <c r="J14" s="370">
        <f t="shared" si="3"/>
        <v>45</v>
      </c>
      <c r="K14" s="342">
        <f t="shared" si="3"/>
        <v>1249.422</v>
      </c>
      <c r="L14" s="342">
        <f t="shared" si="3"/>
        <v>80.05799999999999</v>
      </c>
      <c r="M14" s="342">
        <f t="shared" si="3"/>
        <v>120.26399999999998</v>
      </c>
      <c r="N14" s="342">
        <f t="shared" si="3"/>
        <v>9.637</v>
      </c>
      <c r="O14" s="342">
        <f t="shared" si="3"/>
        <v>0</v>
      </c>
      <c r="P14" s="342">
        <f t="shared" si="3"/>
        <v>5.052</v>
      </c>
      <c r="Q14" s="342">
        <f t="shared" si="3"/>
        <v>1.217</v>
      </c>
      <c r="R14" s="342">
        <f t="shared" si="3"/>
        <v>0.018</v>
      </c>
      <c r="S14" s="342">
        <f t="shared" si="3"/>
        <v>49.768</v>
      </c>
      <c r="T14" s="342">
        <f t="shared" si="3"/>
        <v>1.05</v>
      </c>
      <c r="U14" s="342">
        <f t="shared" si="3"/>
        <v>31.935999999999996</v>
      </c>
      <c r="V14" s="342">
        <f t="shared" si="3"/>
        <v>2.638</v>
      </c>
      <c r="W14" s="342">
        <f t="shared" si="3"/>
        <v>0</v>
      </c>
      <c r="X14" s="342">
        <f t="shared" si="3"/>
        <v>294</v>
      </c>
      <c r="Y14" s="342">
        <f t="shared" si="3"/>
        <v>39</v>
      </c>
      <c r="Z14" s="342">
        <f t="shared" si="3"/>
        <v>190.74</v>
      </c>
      <c r="AA14" s="342">
        <f t="shared" si="3"/>
        <v>314</v>
      </c>
      <c r="AB14" s="342">
        <f t="shared" si="3"/>
        <v>49</v>
      </c>
      <c r="AC14" s="342">
        <f t="shared" si="3"/>
        <v>356</v>
      </c>
      <c r="AD14" s="342">
        <f t="shared" si="3"/>
        <v>45</v>
      </c>
      <c r="AE14" s="342">
        <f t="shared" si="3"/>
        <v>151.21821000000003</v>
      </c>
      <c r="AF14" s="342">
        <f t="shared" si="3"/>
        <v>11.18979</v>
      </c>
      <c r="AG14" s="342">
        <f t="shared" si="3"/>
        <v>123.26899999999998</v>
      </c>
      <c r="AH14" s="342">
        <f t="shared" si="3"/>
        <v>11.030999999999999</v>
      </c>
      <c r="AI14" s="342">
        <f t="shared" si="3"/>
        <v>26.451999999999998</v>
      </c>
      <c r="AJ14" s="342">
        <f t="shared" si="3"/>
        <v>0.048</v>
      </c>
      <c r="AK14" s="342">
        <f t="shared" si="3"/>
        <v>5.649</v>
      </c>
      <c r="AL14" s="342">
        <f t="shared" si="3"/>
        <v>1.057</v>
      </c>
      <c r="AM14" s="342">
        <f t="shared" si="3"/>
        <v>0.018</v>
      </c>
      <c r="AN14" s="342">
        <f t="shared" si="3"/>
        <v>19.746</v>
      </c>
      <c r="AO14" s="342">
        <f t="shared" si="3"/>
        <v>0.03</v>
      </c>
      <c r="AP14" s="342">
        <f t="shared" si="3"/>
        <v>1.4972100000000002</v>
      </c>
      <c r="AQ14" s="342">
        <f t="shared" si="3"/>
        <v>0.11079</v>
      </c>
      <c r="AR14" s="342">
        <f t="shared" si="3"/>
        <v>8.98326</v>
      </c>
      <c r="AS14" s="342">
        <f t="shared" si="3"/>
        <v>0.6647400000000001</v>
      </c>
      <c r="AU14" s="337"/>
    </row>
    <row r="15" spans="1:47" ht="12.75">
      <c r="A15" s="470"/>
      <c r="B15" s="294"/>
      <c r="C15" s="284" t="str">
        <f>2d!B15</f>
        <v>- Sở GDĐT</v>
      </c>
      <c r="D15" s="314">
        <v>0</v>
      </c>
      <c r="E15" s="342">
        <f aca="true" t="shared" si="4" ref="E15:E21">K15+L15+AR15+AS15</f>
        <v>0</v>
      </c>
      <c r="F15" s="314">
        <v>0</v>
      </c>
      <c r="G15" s="329">
        <v>0</v>
      </c>
      <c r="H15" s="329">
        <v>0</v>
      </c>
      <c r="I15" s="329">
        <v>0</v>
      </c>
      <c r="J15" s="329">
        <v>0</v>
      </c>
      <c r="K15" s="342">
        <f aca="true" t="shared" si="5" ref="K15:K25">(M15+O15+P15+Q15+S15+U15)*6</f>
        <v>0</v>
      </c>
      <c r="L15" s="317">
        <v>0</v>
      </c>
      <c r="M15" s="314">
        <v>0</v>
      </c>
      <c r="N15" s="314">
        <v>0</v>
      </c>
      <c r="O15" s="314">
        <v>0</v>
      </c>
      <c r="P15" s="314">
        <v>0</v>
      </c>
      <c r="Q15" s="314">
        <v>0</v>
      </c>
      <c r="R15" s="314">
        <v>0</v>
      </c>
      <c r="S15" s="314">
        <v>0</v>
      </c>
      <c r="T15" s="314">
        <v>0</v>
      </c>
      <c r="U15" s="314">
        <v>0</v>
      </c>
      <c r="V15" s="314">
        <v>0</v>
      </c>
      <c r="W15" s="314"/>
      <c r="X15" s="329"/>
      <c r="Y15" s="329"/>
      <c r="Z15" s="314"/>
      <c r="AA15" s="329"/>
      <c r="AB15" s="329"/>
      <c r="AC15" s="329"/>
      <c r="AD15" s="329"/>
      <c r="AE15" s="314"/>
      <c r="AF15" s="314"/>
      <c r="AG15" s="314"/>
      <c r="AH15" s="314"/>
      <c r="AI15" s="314"/>
      <c r="AJ15" s="314"/>
      <c r="AK15" s="314"/>
      <c r="AL15" s="314"/>
      <c r="AM15" s="314"/>
      <c r="AN15" s="314"/>
      <c r="AO15" s="314"/>
      <c r="AP15" s="314"/>
      <c r="AQ15" s="314"/>
      <c r="AR15" s="314"/>
      <c r="AS15" s="314"/>
      <c r="AU15" s="140"/>
    </row>
    <row r="16" spans="1:47" s="301" customFormat="1" ht="12.75">
      <c r="A16" s="470"/>
      <c r="B16" s="294"/>
      <c r="C16" s="284" t="str">
        <f>2d!B16</f>
        <v>- Trường Chính trị</v>
      </c>
      <c r="D16" s="314">
        <v>152.89800000000008</v>
      </c>
      <c r="E16" s="342">
        <f t="shared" si="4"/>
        <v>158.29919999999998</v>
      </c>
      <c r="F16" s="314">
        <f>K16+L16</f>
        <v>157.296</v>
      </c>
      <c r="G16" s="329">
        <v>49</v>
      </c>
      <c r="H16" s="329">
        <v>6</v>
      </c>
      <c r="I16" s="329">
        <v>37</v>
      </c>
      <c r="J16" s="329">
        <v>5</v>
      </c>
      <c r="K16" s="342">
        <f t="shared" si="5"/>
        <v>143.754</v>
      </c>
      <c r="L16" s="317">
        <f aca="true" t="shared" si="6" ref="L16:L25">(N16+R16+T16+V16)*6</f>
        <v>13.542000000000002</v>
      </c>
      <c r="M16" s="314">
        <v>12.829</v>
      </c>
      <c r="N16" s="314">
        <v>1.671</v>
      </c>
      <c r="O16" s="314">
        <v>0</v>
      </c>
      <c r="P16" s="314">
        <v>0.729</v>
      </c>
      <c r="Q16" s="314">
        <v>0.047</v>
      </c>
      <c r="R16" s="314">
        <v>0.018</v>
      </c>
      <c r="S16" s="314">
        <v>5.448</v>
      </c>
      <c r="T16" s="314">
        <v>0</v>
      </c>
      <c r="U16" s="314">
        <v>4.906</v>
      </c>
      <c r="V16" s="314">
        <v>0.568</v>
      </c>
      <c r="W16" s="314"/>
      <c r="X16" s="329"/>
      <c r="Y16" s="329"/>
      <c r="Z16" s="314"/>
      <c r="AA16" s="329">
        <v>49</v>
      </c>
      <c r="AB16" s="329">
        <v>6</v>
      </c>
      <c r="AC16" s="329">
        <v>31</v>
      </c>
      <c r="AD16" s="329">
        <v>5</v>
      </c>
      <c r="AE16" s="314">
        <f aca="true" t="shared" si="7" ref="AE16:AE25">AG16+AI16+AP16</f>
        <v>15.18131</v>
      </c>
      <c r="AF16" s="314">
        <f aca="true" t="shared" si="8" ref="AF16:AF25">AH16+AJ16+AQ16</f>
        <v>1.7058900000000001</v>
      </c>
      <c r="AG16" s="314">
        <v>12.829</v>
      </c>
      <c r="AH16" s="314">
        <v>1.671</v>
      </c>
      <c r="AI16" s="314">
        <f aca="true" t="shared" si="9" ref="AI16:AI25">AK16+AL16+AN16</f>
        <v>2.202</v>
      </c>
      <c r="AJ16" s="314">
        <f aca="true" t="shared" si="10" ref="AJ16:AJ23">AM16+AO16</f>
        <v>0.018</v>
      </c>
      <c r="AK16" s="314">
        <v>0.729</v>
      </c>
      <c r="AL16" s="314">
        <v>0.047</v>
      </c>
      <c r="AM16" s="314">
        <v>0.018</v>
      </c>
      <c r="AN16" s="314">
        <v>1.426</v>
      </c>
      <c r="AO16" s="314"/>
      <c r="AP16" s="314">
        <f aca="true" t="shared" si="11" ref="AP16:AP25">(AG16+AI16)*1%</f>
        <v>0.15031</v>
      </c>
      <c r="AQ16" s="314">
        <f aca="true" t="shared" si="12" ref="AQ16:AQ25">(AH16+AJ16)*1%</f>
        <v>0.016890000000000002</v>
      </c>
      <c r="AR16" s="314">
        <f aca="true" t="shared" si="13" ref="AR16:AR25">AP16*6</f>
        <v>0.90186</v>
      </c>
      <c r="AS16" s="314">
        <f aca="true" t="shared" si="14" ref="AS16:AS25">AQ16*6</f>
        <v>0.10134000000000001</v>
      </c>
      <c r="AU16" s="302"/>
    </row>
    <row r="17" spans="1:47" ht="12.75">
      <c r="A17" s="470"/>
      <c r="B17" s="294"/>
      <c r="C17" s="284" t="str">
        <f>2d!B17</f>
        <v>- Trường Trung cấp nghề 26-3</v>
      </c>
      <c r="D17" s="314">
        <v>63.53999999999983</v>
      </c>
      <c r="E17" s="342">
        <f t="shared" si="4"/>
        <v>62.63999999999999</v>
      </c>
      <c r="F17" s="314">
        <f aca="true" t="shared" si="15" ref="F17:F25">K17+L17</f>
        <v>61.559999999999995</v>
      </c>
      <c r="G17" s="329">
        <v>35</v>
      </c>
      <c r="H17" s="329">
        <v>5</v>
      </c>
      <c r="I17" s="329">
        <v>26</v>
      </c>
      <c r="J17" s="329">
        <v>3</v>
      </c>
      <c r="K17" s="342">
        <f t="shared" si="5"/>
        <v>56.16</v>
      </c>
      <c r="L17" s="317">
        <f t="shared" si="6"/>
        <v>5.3999999999999995</v>
      </c>
      <c r="M17" s="314">
        <v>8</v>
      </c>
      <c r="N17" s="314">
        <v>0.6</v>
      </c>
      <c r="O17" s="314">
        <v>0</v>
      </c>
      <c r="P17" s="314">
        <v>0.4</v>
      </c>
      <c r="Q17" s="314">
        <v>0.16</v>
      </c>
      <c r="R17" s="314">
        <v>0</v>
      </c>
      <c r="S17" s="314">
        <v>0.6</v>
      </c>
      <c r="T17" s="314">
        <v>0</v>
      </c>
      <c r="U17" s="314">
        <v>0.2</v>
      </c>
      <c r="V17" s="314">
        <v>0.3</v>
      </c>
      <c r="W17" s="314"/>
      <c r="X17" s="329">
        <v>26</v>
      </c>
      <c r="Y17" s="329">
        <v>3</v>
      </c>
      <c r="Z17" s="314"/>
      <c r="AA17" s="329">
        <v>35</v>
      </c>
      <c r="AB17" s="329">
        <v>5</v>
      </c>
      <c r="AC17" s="329">
        <v>26</v>
      </c>
      <c r="AD17" s="329">
        <v>3</v>
      </c>
      <c r="AE17" s="314">
        <f t="shared" si="7"/>
        <v>16.16</v>
      </c>
      <c r="AF17" s="314">
        <f t="shared" si="8"/>
        <v>2.02</v>
      </c>
      <c r="AG17" s="314">
        <v>10</v>
      </c>
      <c r="AH17" s="314">
        <v>2</v>
      </c>
      <c r="AI17" s="314">
        <f t="shared" si="9"/>
        <v>6</v>
      </c>
      <c r="AJ17" s="314">
        <f t="shared" si="10"/>
        <v>0</v>
      </c>
      <c r="AK17" s="314">
        <v>0</v>
      </c>
      <c r="AL17" s="314">
        <v>0</v>
      </c>
      <c r="AM17" s="314">
        <v>0</v>
      </c>
      <c r="AN17" s="314">
        <v>6</v>
      </c>
      <c r="AO17" s="314"/>
      <c r="AP17" s="314">
        <f t="shared" si="11"/>
        <v>0.16</v>
      </c>
      <c r="AQ17" s="314">
        <f t="shared" si="12"/>
        <v>0.02</v>
      </c>
      <c r="AR17" s="314">
        <f t="shared" si="13"/>
        <v>0.96</v>
      </c>
      <c r="AS17" s="314">
        <f t="shared" si="14"/>
        <v>0.12</v>
      </c>
      <c r="AU17" s="140"/>
    </row>
    <row r="18" spans="1:47" s="301" customFormat="1" ht="12.75">
      <c r="A18" s="470"/>
      <c r="B18" s="294"/>
      <c r="C18" s="284" t="str">
        <f>2d!B18</f>
        <v>-Trường TC VHNT</v>
      </c>
      <c r="D18" s="314">
        <v>132.70799999999997</v>
      </c>
      <c r="E18" s="342">
        <f t="shared" si="4"/>
        <v>132.60840000000002</v>
      </c>
      <c r="F18" s="314">
        <f t="shared" si="15"/>
        <v>131.76000000000002</v>
      </c>
      <c r="G18" s="329">
        <v>40</v>
      </c>
      <c r="H18" s="329">
        <v>3</v>
      </c>
      <c r="I18" s="329">
        <v>37</v>
      </c>
      <c r="J18" s="329">
        <v>3</v>
      </c>
      <c r="K18" s="342">
        <f t="shared" si="5"/>
        <v>127.32000000000002</v>
      </c>
      <c r="L18" s="317">
        <f t="shared" si="6"/>
        <v>4.4399999999999995</v>
      </c>
      <c r="M18" s="314">
        <v>11.58</v>
      </c>
      <c r="N18" s="314">
        <v>0.6</v>
      </c>
      <c r="O18" s="314">
        <v>0</v>
      </c>
      <c r="P18" s="314">
        <v>0.43</v>
      </c>
      <c r="Q18" s="314">
        <v>0.18</v>
      </c>
      <c r="R18" s="314">
        <v>0</v>
      </c>
      <c r="S18" s="314">
        <v>5.98</v>
      </c>
      <c r="T18" s="314">
        <v>0</v>
      </c>
      <c r="U18" s="314">
        <v>3.05</v>
      </c>
      <c r="V18" s="314">
        <v>0.14</v>
      </c>
      <c r="W18" s="314"/>
      <c r="X18" s="329">
        <v>40</v>
      </c>
      <c r="Y18" s="329">
        <v>3</v>
      </c>
      <c r="Z18" s="314">
        <v>46.74</v>
      </c>
      <c r="AA18" s="329">
        <v>37</v>
      </c>
      <c r="AB18" s="329">
        <v>3</v>
      </c>
      <c r="AC18" s="329">
        <v>37</v>
      </c>
      <c r="AD18" s="329">
        <v>3</v>
      </c>
      <c r="AE18" s="314">
        <f t="shared" si="7"/>
        <v>13.6754</v>
      </c>
      <c r="AF18" s="314">
        <f t="shared" si="8"/>
        <v>0.606</v>
      </c>
      <c r="AG18" s="314">
        <v>11.58</v>
      </c>
      <c r="AH18" s="314">
        <v>0.6</v>
      </c>
      <c r="AI18" s="314">
        <f t="shared" si="9"/>
        <v>1.96</v>
      </c>
      <c r="AJ18" s="314">
        <f t="shared" si="10"/>
        <v>0</v>
      </c>
      <c r="AK18" s="314">
        <v>0.43</v>
      </c>
      <c r="AL18" s="314">
        <v>0.18</v>
      </c>
      <c r="AM18" s="314">
        <v>0</v>
      </c>
      <c r="AN18" s="314">
        <v>1.35</v>
      </c>
      <c r="AO18" s="314">
        <v>0</v>
      </c>
      <c r="AP18" s="314">
        <f t="shared" si="11"/>
        <v>0.1354</v>
      </c>
      <c r="AQ18" s="314">
        <f t="shared" si="12"/>
        <v>0.006</v>
      </c>
      <c r="AR18" s="314">
        <f t="shared" si="13"/>
        <v>0.8124</v>
      </c>
      <c r="AS18" s="314">
        <f t="shared" si="14"/>
        <v>0.036000000000000004</v>
      </c>
      <c r="AU18" s="302"/>
    </row>
    <row r="19" spans="1:47" ht="25.5">
      <c r="A19" s="470"/>
      <c r="B19" s="294"/>
      <c r="C19" s="175" t="s">
        <v>444</v>
      </c>
      <c r="D19" s="314">
        <v>121.91999999999996</v>
      </c>
      <c r="E19" s="342">
        <f t="shared" si="4"/>
        <v>116.18939999999998</v>
      </c>
      <c r="F19" s="314">
        <f t="shared" si="15"/>
        <v>115.37999999999998</v>
      </c>
      <c r="G19" s="329">
        <v>45</v>
      </c>
      <c r="H19" s="329">
        <v>11</v>
      </c>
      <c r="I19" s="329">
        <v>44</v>
      </c>
      <c r="J19" s="329">
        <v>10</v>
      </c>
      <c r="K19" s="342">
        <f t="shared" si="5"/>
        <v>102.71999999999998</v>
      </c>
      <c r="L19" s="317">
        <f t="shared" si="6"/>
        <v>12.66</v>
      </c>
      <c r="M19" s="314">
        <v>10.87</v>
      </c>
      <c r="N19" s="314">
        <v>1.71</v>
      </c>
      <c r="O19" s="314">
        <v>0</v>
      </c>
      <c r="P19" s="314">
        <v>0.47</v>
      </c>
      <c r="Q19" s="314">
        <v>0</v>
      </c>
      <c r="R19" s="314">
        <v>0</v>
      </c>
      <c r="S19" s="314">
        <v>3.02</v>
      </c>
      <c r="T19" s="314">
        <v>0</v>
      </c>
      <c r="U19" s="314">
        <v>2.76</v>
      </c>
      <c r="V19" s="314">
        <v>0.4</v>
      </c>
      <c r="W19" s="314"/>
      <c r="X19" s="329">
        <v>6</v>
      </c>
      <c r="Y19" s="329">
        <v>9</v>
      </c>
      <c r="Z19" s="314">
        <v>0</v>
      </c>
      <c r="AA19" s="329">
        <v>7</v>
      </c>
      <c r="AB19" s="329">
        <v>11</v>
      </c>
      <c r="AC19" s="329">
        <v>44</v>
      </c>
      <c r="AD19" s="329">
        <v>10</v>
      </c>
      <c r="AE19" s="314">
        <f t="shared" si="7"/>
        <v>11.8978</v>
      </c>
      <c r="AF19" s="314">
        <f t="shared" si="8"/>
        <v>1.7270999999999999</v>
      </c>
      <c r="AG19" s="314">
        <v>10.87</v>
      </c>
      <c r="AH19" s="314">
        <v>1.71</v>
      </c>
      <c r="AI19" s="314">
        <f t="shared" si="9"/>
        <v>0.9099999999999999</v>
      </c>
      <c r="AJ19" s="314">
        <f t="shared" si="10"/>
        <v>0</v>
      </c>
      <c r="AK19" s="314">
        <v>0.47</v>
      </c>
      <c r="AL19" s="314">
        <v>0</v>
      </c>
      <c r="AM19" s="314">
        <v>0</v>
      </c>
      <c r="AN19" s="314">
        <v>0.44</v>
      </c>
      <c r="AO19" s="314">
        <v>0</v>
      </c>
      <c r="AP19" s="314">
        <f t="shared" si="11"/>
        <v>0.1178</v>
      </c>
      <c r="AQ19" s="314">
        <f t="shared" si="12"/>
        <v>0.0171</v>
      </c>
      <c r="AR19" s="314">
        <f t="shared" si="13"/>
        <v>0.7068</v>
      </c>
      <c r="AS19" s="314">
        <f t="shared" si="14"/>
        <v>0.1026</v>
      </c>
      <c r="AU19" s="140"/>
    </row>
    <row r="20" spans="1:47" ht="12.75">
      <c r="A20" s="470"/>
      <c r="B20" s="294"/>
      <c r="C20" s="318" t="s">
        <v>432</v>
      </c>
      <c r="D20" s="314">
        <v>106.93013999999985</v>
      </c>
      <c r="E20" s="342">
        <f t="shared" si="4"/>
        <v>109.64399999999999</v>
      </c>
      <c r="F20" s="314">
        <f t="shared" si="15"/>
        <v>109.02</v>
      </c>
      <c r="G20" s="329">
        <v>36</v>
      </c>
      <c r="H20" s="329">
        <v>3</v>
      </c>
      <c r="I20" s="329">
        <v>33</v>
      </c>
      <c r="J20" s="329">
        <v>3</v>
      </c>
      <c r="K20" s="342">
        <f t="shared" si="5"/>
        <v>105.89999999999999</v>
      </c>
      <c r="L20" s="317">
        <f t="shared" si="6"/>
        <v>3.12</v>
      </c>
      <c r="M20" s="314">
        <v>9.54</v>
      </c>
      <c r="N20" s="314">
        <v>0.42</v>
      </c>
      <c r="O20" s="314">
        <v>0</v>
      </c>
      <c r="P20" s="314">
        <v>0.22</v>
      </c>
      <c r="Q20" s="314">
        <v>0.06</v>
      </c>
      <c r="R20" s="314">
        <v>0</v>
      </c>
      <c r="S20" s="314">
        <v>5.58</v>
      </c>
      <c r="T20" s="314">
        <v>0</v>
      </c>
      <c r="U20" s="314">
        <v>2.25</v>
      </c>
      <c r="V20" s="314">
        <v>0.1</v>
      </c>
      <c r="W20" s="314"/>
      <c r="X20" s="329">
        <v>36</v>
      </c>
      <c r="Y20" s="329">
        <v>3</v>
      </c>
      <c r="Z20" s="314">
        <v>0</v>
      </c>
      <c r="AA20" s="329">
        <v>36</v>
      </c>
      <c r="AB20" s="329">
        <v>3</v>
      </c>
      <c r="AC20" s="329">
        <v>33</v>
      </c>
      <c r="AD20" s="329">
        <v>3</v>
      </c>
      <c r="AE20" s="314">
        <f t="shared" si="7"/>
        <v>10.079799999999999</v>
      </c>
      <c r="AF20" s="314">
        <f t="shared" si="8"/>
        <v>0.42419999999999997</v>
      </c>
      <c r="AG20" s="314">
        <v>9.54</v>
      </c>
      <c r="AH20" s="314">
        <v>0.42</v>
      </c>
      <c r="AI20" s="314">
        <f t="shared" si="9"/>
        <v>0.44000000000000006</v>
      </c>
      <c r="AJ20" s="314">
        <f t="shared" si="10"/>
        <v>0</v>
      </c>
      <c r="AK20" s="314">
        <v>0.22</v>
      </c>
      <c r="AL20" s="314">
        <v>0.06</v>
      </c>
      <c r="AM20" s="314">
        <v>0</v>
      </c>
      <c r="AN20" s="314">
        <v>0.16</v>
      </c>
      <c r="AO20" s="314">
        <v>0</v>
      </c>
      <c r="AP20" s="314">
        <f t="shared" si="11"/>
        <v>0.09979999999999999</v>
      </c>
      <c r="AQ20" s="314">
        <f t="shared" si="12"/>
        <v>0.0042</v>
      </c>
      <c r="AR20" s="314">
        <f t="shared" si="13"/>
        <v>0.5987999999999999</v>
      </c>
      <c r="AS20" s="314">
        <f t="shared" si="14"/>
        <v>0.0252</v>
      </c>
      <c r="AU20" s="140"/>
    </row>
    <row r="21" spans="1:47" ht="12.75">
      <c r="A21" s="470"/>
      <c r="B21" s="294"/>
      <c r="C21" s="284" t="str">
        <f>2d!B20</f>
        <v>- Trường TC nghề Giao thông Vận tải</v>
      </c>
      <c r="D21" s="314">
        <v>101.84171999999998</v>
      </c>
      <c r="E21" s="342">
        <f t="shared" si="4"/>
        <v>114.9</v>
      </c>
      <c r="F21" s="314">
        <f t="shared" si="15"/>
        <v>114</v>
      </c>
      <c r="G21" s="329">
        <v>36</v>
      </c>
      <c r="H21" s="329">
        <v>0</v>
      </c>
      <c r="I21" s="329">
        <v>36</v>
      </c>
      <c r="J21" s="329">
        <v>0</v>
      </c>
      <c r="K21" s="342">
        <f t="shared" si="5"/>
        <v>114</v>
      </c>
      <c r="L21" s="317">
        <f t="shared" si="6"/>
        <v>0</v>
      </c>
      <c r="M21" s="314">
        <v>11</v>
      </c>
      <c r="N21" s="314">
        <v>0</v>
      </c>
      <c r="O21" s="314">
        <v>0</v>
      </c>
      <c r="P21" s="314">
        <v>1</v>
      </c>
      <c r="Q21" s="314">
        <v>0</v>
      </c>
      <c r="R21" s="314">
        <v>0</v>
      </c>
      <c r="S21" s="314">
        <v>4</v>
      </c>
      <c r="T21" s="314">
        <v>0</v>
      </c>
      <c r="U21" s="314">
        <v>3</v>
      </c>
      <c r="V21" s="314">
        <v>0</v>
      </c>
      <c r="W21" s="314"/>
      <c r="X21" s="329">
        <v>36</v>
      </c>
      <c r="Y21" s="329">
        <v>0</v>
      </c>
      <c r="Z21" s="314">
        <v>36</v>
      </c>
      <c r="AA21" s="329">
        <v>0</v>
      </c>
      <c r="AB21" s="329">
        <v>0</v>
      </c>
      <c r="AC21" s="329">
        <v>36</v>
      </c>
      <c r="AD21" s="329">
        <v>0</v>
      </c>
      <c r="AE21" s="314">
        <f t="shared" si="7"/>
        <v>15.15</v>
      </c>
      <c r="AF21" s="314">
        <f t="shared" si="8"/>
        <v>0</v>
      </c>
      <c r="AG21" s="314">
        <v>12</v>
      </c>
      <c r="AH21" s="314">
        <v>0</v>
      </c>
      <c r="AI21" s="314">
        <f t="shared" si="9"/>
        <v>3</v>
      </c>
      <c r="AJ21" s="314">
        <f t="shared" si="10"/>
        <v>0</v>
      </c>
      <c r="AK21" s="314">
        <v>2</v>
      </c>
      <c r="AL21" s="314">
        <v>0</v>
      </c>
      <c r="AM21" s="314">
        <v>0</v>
      </c>
      <c r="AN21" s="314">
        <v>1</v>
      </c>
      <c r="AO21" s="314">
        <v>0</v>
      </c>
      <c r="AP21" s="314">
        <f t="shared" si="11"/>
        <v>0.15</v>
      </c>
      <c r="AQ21" s="314">
        <f t="shared" si="12"/>
        <v>0</v>
      </c>
      <c r="AR21" s="314">
        <f t="shared" si="13"/>
        <v>0.8999999999999999</v>
      </c>
      <c r="AS21" s="314">
        <f t="shared" si="14"/>
        <v>0</v>
      </c>
      <c r="AU21" s="140"/>
    </row>
    <row r="22" spans="1:47" s="62" customFormat="1" ht="25.5">
      <c r="A22" s="393" t="s">
        <v>441</v>
      </c>
      <c r="B22" s="392"/>
      <c r="C22" s="393" t="str">
        <f>2d!B21</f>
        <v>- Trường ĐH Đồng Nai</v>
      </c>
      <c r="D22" s="394">
        <v>0</v>
      </c>
      <c r="E22" s="395">
        <f aca="true" t="shared" si="16" ref="E22:E28">K22+L22+AR22+AS22</f>
        <v>0</v>
      </c>
      <c r="F22" s="394">
        <f t="shared" si="15"/>
        <v>0</v>
      </c>
      <c r="G22" s="396"/>
      <c r="H22" s="396"/>
      <c r="I22" s="396"/>
      <c r="J22" s="396"/>
      <c r="K22" s="395">
        <f t="shared" si="5"/>
        <v>0</v>
      </c>
      <c r="L22" s="397">
        <f t="shared" si="6"/>
        <v>0</v>
      </c>
      <c r="M22" s="394"/>
      <c r="N22" s="394"/>
      <c r="O22" s="394"/>
      <c r="P22" s="394"/>
      <c r="Q22" s="394"/>
      <c r="R22" s="394"/>
      <c r="S22" s="394"/>
      <c r="T22" s="394"/>
      <c r="U22" s="394"/>
      <c r="V22" s="394"/>
      <c r="W22" s="393" t="s">
        <v>441</v>
      </c>
      <c r="X22" s="396"/>
      <c r="Y22" s="396"/>
      <c r="Z22" s="394"/>
      <c r="AA22" s="396"/>
      <c r="AB22" s="396"/>
      <c r="AC22" s="396"/>
      <c r="AD22" s="396"/>
      <c r="AE22" s="394">
        <f t="shared" si="7"/>
        <v>0</v>
      </c>
      <c r="AF22" s="394">
        <f t="shared" si="8"/>
        <v>0</v>
      </c>
      <c r="AG22" s="394"/>
      <c r="AH22" s="394"/>
      <c r="AI22" s="394">
        <f t="shared" si="9"/>
        <v>0</v>
      </c>
      <c r="AJ22" s="394">
        <f t="shared" si="10"/>
        <v>0</v>
      </c>
      <c r="AK22" s="394"/>
      <c r="AL22" s="394"/>
      <c r="AM22" s="394"/>
      <c r="AN22" s="394"/>
      <c r="AO22" s="394"/>
      <c r="AP22" s="394">
        <f t="shared" si="11"/>
        <v>0</v>
      </c>
      <c r="AQ22" s="394">
        <f t="shared" si="12"/>
        <v>0</v>
      </c>
      <c r="AR22" s="394">
        <f t="shared" si="13"/>
        <v>0</v>
      </c>
      <c r="AS22" s="394">
        <f t="shared" si="14"/>
        <v>0</v>
      </c>
      <c r="AU22" s="398"/>
    </row>
    <row r="23" spans="1:47" ht="12.75">
      <c r="A23" s="470"/>
      <c r="B23" s="294"/>
      <c r="C23" s="284" t="str">
        <f>2d!B22</f>
        <v>- Trường Cao đẳng Y tế</v>
      </c>
      <c r="D23" s="314">
        <v>269.5919999999998</v>
      </c>
      <c r="E23" s="342">
        <f t="shared" si="16"/>
        <v>266.3256</v>
      </c>
      <c r="F23" s="314">
        <f t="shared" si="15"/>
        <v>264.504</v>
      </c>
      <c r="G23" s="329">
        <v>75</v>
      </c>
      <c r="H23" s="329">
        <v>21</v>
      </c>
      <c r="I23" s="329">
        <v>75</v>
      </c>
      <c r="J23" s="329">
        <v>21</v>
      </c>
      <c r="K23" s="342">
        <f t="shared" si="5"/>
        <v>223.608</v>
      </c>
      <c r="L23" s="317">
        <f t="shared" si="6"/>
        <v>40.896</v>
      </c>
      <c r="M23" s="314">
        <v>22.595</v>
      </c>
      <c r="N23" s="314">
        <v>4.636</v>
      </c>
      <c r="O23" s="314">
        <v>0</v>
      </c>
      <c r="P23" s="314">
        <v>0.873</v>
      </c>
      <c r="Q23" s="314">
        <v>0.25</v>
      </c>
      <c r="R23" s="314">
        <v>0</v>
      </c>
      <c r="S23" s="314">
        <v>7.39</v>
      </c>
      <c r="T23" s="314">
        <v>1.05</v>
      </c>
      <c r="U23" s="314">
        <v>6.16</v>
      </c>
      <c r="V23" s="314">
        <v>1.13</v>
      </c>
      <c r="W23" s="314"/>
      <c r="X23" s="329">
        <v>75</v>
      </c>
      <c r="Y23" s="329">
        <v>21</v>
      </c>
      <c r="Z23" s="314">
        <v>108</v>
      </c>
      <c r="AA23" s="329">
        <v>75</v>
      </c>
      <c r="AB23" s="329">
        <v>21</v>
      </c>
      <c r="AC23" s="329">
        <v>75</v>
      </c>
      <c r="AD23" s="329">
        <v>21</v>
      </c>
      <c r="AE23" s="314">
        <f t="shared" si="7"/>
        <v>25.957000000000004</v>
      </c>
      <c r="AF23" s="314">
        <f t="shared" si="8"/>
        <v>4.7066</v>
      </c>
      <c r="AG23" s="314">
        <v>22.6</v>
      </c>
      <c r="AH23" s="314">
        <v>4.63</v>
      </c>
      <c r="AI23" s="314">
        <f t="shared" si="9"/>
        <v>3.1</v>
      </c>
      <c r="AJ23" s="314">
        <f t="shared" si="10"/>
        <v>0.03</v>
      </c>
      <c r="AK23" s="314">
        <v>0.87</v>
      </c>
      <c r="AL23" s="314">
        <v>0.25</v>
      </c>
      <c r="AM23" s="314">
        <v>0</v>
      </c>
      <c r="AN23" s="314">
        <v>1.98</v>
      </c>
      <c r="AO23" s="314">
        <v>0.03</v>
      </c>
      <c r="AP23" s="314">
        <f t="shared" si="11"/>
        <v>0.257</v>
      </c>
      <c r="AQ23" s="314">
        <f t="shared" si="12"/>
        <v>0.0466</v>
      </c>
      <c r="AR23" s="314">
        <f t="shared" si="13"/>
        <v>1.542</v>
      </c>
      <c r="AS23" s="314">
        <f t="shared" si="14"/>
        <v>0.2796</v>
      </c>
      <c r="AU23" s="140"/>
    </row>
    <row r="24" spans="1:47" ht="12.75">
      <c r="A24" s="470"/>
      <c r="B24" s="294"/>
      <c r="C24" s="318" t="s">
        <v>439</v>
      </c>
      <c r="D24" s="314">
        <v>439.6945800000004</v>
      </c>
      <c r="E24" s="342">
        <f t="shared" si="16"/>
        <v>378.5214</v>
      </c>
      <c r="F24" s="314">
        <f t="shared" si="15"/>
        <v>375.96000000000004</v>
      </c>
      <c r="G24" s="350">
        <v>75</v>
      </c>
      <c r="H24" s="350">
        <v>0</v>
      </c>
      <c r="I24" s="350">
        <v>75</v>
      </c>
      <c r="J24" s="350">
        <v>0</v>
      </c>
      <c r="K24" s="342">
        <f t="shared" si="5"/>
        <v>375.96000000000004</v>
      </c>
      <c r="L24" s="317">
        <f t="shared" si="6"/>
        <v>0</v>
      </c>
      <c r="M24" s="351">
        <v>33.85</v>
      </c>
      <c r="N24" s="351">
        <v>0</v>
      </c>
      <c r="O24" s="351">
        <v>0</v>
      </c>
      <c r="P24" s="351">
        <v>0.93</v>
      </c>
      <c r="Q24" s="351">
        <v>0.52</v>
      </c>
      <c r="R24" s="351">
        <v>0</v>
      </c>
      <c r="S24" s="351">
        <v>17.75</v>
      </c>
      <c r="T24" s="351">
        <v>0</v>
      </c>
      <c r="U24" s="351">
        <v>9.61</v>
      </c>
      <c r="V24" s="351">
        <v>0</v>
      </c>
      <c r="W24" s="314"/>
      <c r="X24" s="329">
        <v>75</v>
      </c>
      <c r="Y24" s="329">
        <v>0</v>
      </c>
      <c r="Z24" s="314">
        <v>0</v>
      </c>
      <c r="AA24" s="329">
        <v>75</v>
      </c>
      <c r="AB24" s="329">
        <v>0</v>
      </c>
      <c r="AC24" s="329">
        <v>74</v>
      </c>
      <c r="AD24" s="329">
        <v>0</v>
      </c>
      <c r="AE24" s="314">
        <f t="shared" si="7"/>
        <v>43.1169</v>
      </c>
      <c r="AF24" s="314">
        <f t="shared" si="8"/>
        <v>0</v>
      </c>
      <c r="AG24" s="314">
        <v>33.85</v>
      </c>
      <c r="AH24" s="314">
        <v>0</v>
      </c>
      <c r="AI24" s="314">
        <f t="shared" si="9"/>
        <v>8.84</v>
      </c>
      <c r="AJ24" s="314">
        <v>0</v>
      </c>
      <c r="AK24" s="314">
        <v>0.93</v>
      </c>
      <c r="AL24" s="314">
        <v>0.52</v>
      </c>
      <c r="AM24" s="314">
        <v>0</v>
      </c>
      <c r="AN24" s="314">
        <v>7.39</v>
      </c>
      <c r="AO24" s="314">
        <v>0</v>
      </c>
      <c r="AP24" s="314">
        <f t="shared" si="11"/>
        <v>0.4269</v>
      </c>
      <c r="AQ24" s="314">
        <f t="shared" si="12"/>
        <v>0</v>
      </c>
      <c r="AR24" s="314">
        <f t="shared" si="13"/>
        <v>2.5614</v>
      </c>
      <c r="AS24" s="314">
        <f t="shared" si="14"/>
        <v>0</v>
      </c>
      <c r="AU24" s="140"/>
    </row>
    <row r="25" spans="1:47" s="62" customFormat="1" ht="25.5">
      <c r="A25" s="471" t="s">
        <v>440</v>
      </c>
      <c r="B25" s="392"/>
      <c r="C25" s="393" t="str">
        <f>2d!B24</f>
        <v>- Trường CĐ Nghề Công nghệ cao</v>
      </c>
      <c r="D25" s="394">
        <v>198.0018</v>
      </c>
      <c r="E25" s="395">
        <f t="shared" si="16"/>
        <v>0</v>
      </c>
      <c r="F25" s="394">
        <f t="shared" si="15"/>
        <v>0</v>
      </c>
      <c r="G25" s="463"/>
      <c r="H25" s="396"/>
      <c r="I25" s="396"/>
      <c r="J25" s="396"/>
      <c r="K25" s="395">
        <f t="shared" si="5"/>
        <v>0</v>
      </c>
      <c r="L25" s="397">
        <f t="shared" si="6"/>
        <v>0</v>
      </c>
      <c r="M25" s="394"/>
      <c r="N25" s="394"/>
      <c r="O25" s="394"/>
      <c r="P25" s="394"/>
      <c r="Q25" s="394"/>
      <c r="R25" s="394"/>
      <c r="S25" s="394"/>
      <c r="T25" s="394"/>
      <c r="U25" s="394"/>
      <c r="V25" s="394"/>
      <c r="W25" s="394" t="s">
        <v>590</v>
      </c>
      <c r="X25" s="396"/>
      <c r="Y25" s="396"/>
      <c r="Z25" s="394"/>
      <c r="AA25" s="396"/>
      <c r="AB25" s="396"/>
      <c r="AC25" s="396"/>
      <c r="AD25" s="396"/>
      <c r="AE25" s="394">
        <f t="shared" si="7"/>
        <v>0</v>
      </c>
      <c r="AF25" s="394">
        <f t="shared" si="8"/>
        <v>0</v>
      </c>
      <c r="AG25" s="394"/>
      <c r="AH25" s="394"/>
      <c r="AI25" s="394">
        <f t="shared" si="9"/>
        <v>0</v>
      </c>
      <c r="AJ25" s="394">
        <v>0</v>
      </c>
      <c r="AK25" s="394"/>
      <c r="AL25" s="394"/>
      <c r="AM25" s="394"/>
      <c r="AN25" s="394"/>
      <c r="AO25" s="394"/>
      <c r="AP25" s="394">
        <f t="shared" si="11"/>
        <v>0</v>
      </c>
      <c r="AQ25" s="394">
        <f t="shared" si="12"/>
        <v>0</v>
      </c>
      <c r="AR25" s="394">
        <f t="shared" si="13"/>
        <v>0</v>
      </c>
      <c r="AS25" s="394">
        <f t="shared" si="14"/>
        <v>0</v>
      </c>
      <c r="AU25" s="398"/>
    </row>
    <row r="26" spans="1:47" s="132" customFormat="1" ht="12.75">
      <c r="A26" s="468"/>
      <c r="B26" s="325" t="s">
        <v>24</v>
      </c>
      <c r="C26" s="307" t="s">
        <v>472</v>
      </c>
      <c r="D26" s="317">
        <f>20893.48496+180.72</f>
        <v>21074.204960000003</v>
      </c>
      <c r="E26" s="342">
        <f>SUM(E27:E28)</f>
        <v>15316.767</v>
      </c>
      <c r="F26" s="342">
        <f>SUM(F27:F28)</f>
        <v>15224.82</v>
      </c>
      <c r="G26" s="342">
        <f aca="true" t="shared" si="17" ref="G26:AS26">SUM(G27:G28)</f>
        <v>6418</v>
      </c>
      <c r="H26" s="342">
        <f t="shared" si="17"/>
        <v>268</v>
      </c>
      <c r="I26" s="342">
        <f t="shared" si="17"/>
        <v>5762</v>
      </c>
      <c r="J26" s="342">
        <f t="shared" si="17"/>
        <v>225</v>
      </c>
      <c r="K26" s="342">
        <f t="shared" si="17"/>
        <v>14813.46</v>
      </c>
      <c r="L26" s="342">
        <f t="shared" si="17"/>
        <v>411.36</v>
      </c>
      <c r="M26" s="342">
        <f t="shared" si="17"/>
        <v>1443.91</v>
      </c>
      <c r="N26" s="342">
        <f t="shared" si="17"/>
        <v>45.66</v>
      </c>
      <c r="O26" s="342">
        <f t="shared" si="17"/>
        <v>13.28</v>
      </c>
      <c r="P26" s="342">
        <f t="shared" si="17"/>
        <v>27.45</v>
      </c>
      <c r="Q26" s="342">
        <f t="shared" si="17"/>
        <v>15.12</v>
      </c>
      <c r="R26" s="342">
        <f t="shared" si="17"/>
        <v>0.31</v>
      </c>
      <c r="S26" s="342">
        <f t="shared" si="17"/>
        <v>627.26</v>
      </c>
      <c r="T26" s="342">
        <f t="shared" si="17"/>
        <v>12.02</v>
      </c>
      <c r="U26" s="342">
        <f t="shared" si="17"/>
        <v>341.89</v>
      </c>
      <c r="V26" s="342">
        <f t="shared" si="17"/>
        <v>10.57</v>
      </c>
      <c r="W26" s="342">
        <f t="shared" si="17"/>
        <v>0</v>
      </c>
      <c r="X26" s="342">
        <f t="shared" si="17"/>
        <v>0</v>
      </c>
      <c r="Y26" s="342">
        <f t="shared" si="17"/>
        <v>0</v>
      </c>
      <c r="Z26" s="342">
        <f t="shared" si="17"/>
        <v>0</v>
      </c>
      <c r="AA26" s="342">
        <f t="shared" si="17"/>
        <v>6331</v>
      </c>
      <c r="AB26" s="342">
        <f t="shared" si="17"/>
        <v>255</v>
      </c>
      <c r="AC26" s="342">
        <f t="shared" si="17"/>
        <v>5684</v>
      </c>
      <c r="AD26" s="342">
        <f t="shared" si="17"/>
        <v>213</v>
      </c>
      <c r="AE26" s="342">
        <f t="shared" si="17"/>
        <v>1501.3448</v>
      </c>
      <c r="AF26" s="342">
        <f t="shared" si="17"/>
        <v>46.4297</v>
      </c>
      <c r="AG26" s="342">
        <f t="shared" si="17"/>
        <v>1443.91</v>
      </c>
      <c r="AH26" s="342">
        <f t="shared" si="17"/>
        <v>45.66</v>
      </c>
      <c r="AI26" s="342">
        <f t="shared" si="17"/>
        <v>42.57</v>
      </c>
      <c r="AJ26" s="342">
        <f t="shared" si="17"/>
        <v>0.31</v>
      </c>
      <c r="AK26" s="342">
        <f t="shared" si="17"/>
        <v>27.45</v>
      </c>
      <c r="AL26" s="342">
        <f t="shared" si="17"/>
        <v>15.12</v>
      </c>
      <c r="AM26" s="342">
        <f t="shared" si="17"/>
        <v>0.31</v>
      </c>
      <c r="AN26" s="342">
        <f t="shared" si="17"/>
        <v>0</v>
      </c>
      <c r="AO26" s="342">
        <f t="shared" si="17"/>
        <v>0</v>
      </c>
      <c r="AP26" s="342">
        <f t="shared" si="17"/>
        <v>14.8648</v>
      </c>
      <c r="AQ26" s="342">
        <f t="shared" si="17"/>
        <v>0.4597</v>
      </c>
      <c r="AR26" s="342">
        <f t="shared" si="17"/>
        <v>89.1888</v>
      </c>
      <c r="AS26" s="342">
        <f t="shared" si="17"/>
        <v>2.7582</v>
      </c>
      <c r="AU26" s="140"/>
    </row>
    <row r="27" spans="1:47" ht="12.75">
      <c r="A27" s="470"/>
      <c r="B27" s="294"/>
      <c r="C27" s="284" t="s">
        <v>129</v>
      </c>
      <c r="D27" s="314">
        <v>20832.69896000003</v>
      </c>
      <c r="E27" s="342">
        <f>K27+L27+AR27+AS27</f>
        <v>15316.767</v>
      </c>
      <c r="F27" s="314">
        <f>K27+L27</f>
        <v>15224.82</v>
      </c>
      <c r="G27" s="329">
        <v>6418</v>
      </c>
      <c r="H27" s="329">
        <v>268</v>
      </c>
      <c r="I27" s="329">
        <v>5762</v>
      </c>
      <c r="J27" s="329">
        <v>225</v>
      </c>
      <c r="K27" s="342">
        <f>(M27+O27+P27+Q27+S27+U27)*6</f>
        <v>14813.46</v>
      </c>
      <c r="L27" s="317">
        <f>(N27+R27+T27+V27)*6</f>
        <v>411.36</v>
      </c>
      <c r="M27" s="314">
        <v>1443.91</v>
      </c>
      <c r="N27" s="314">
        <v>45.66</v>
      </c>
      <c r="O27" s="314">
        <v>13.28</v>
      </c>
      <c r="P27" s="314">
        <v>27.45</v>
      </c>
      <c r="Q27" s="314">
        <v>15.12</v>
      </c>
      <c r="R27" s="314">
        <v>0.31</v>
      </c>
      <c r="S27" s="314">
        <v>627.26</v>
      </c>
      <c r="T27" s="314">
        <v>12.02</v>
      </c>
      <c r="U27" s="314">
        <v>341.89</v>
      </c>
      <c r="V27" s="314">
        <v>10.57</v>
      </c>
      <c r="W27" s="314"/>
      <c r="X27" s="329"/>
      <c r="Y27" s="329"/>
      <c r="Z27" s="314"/>
      <c r="AA27" s="329">
        <v>6331</v>
      </c>
      <c r="AB27" s="329">
        <v>255</v>
      </c>
      <c r="AC27" s="329">
        <v>5684</v>
      </c>
      <c r="AD27" s="329">
        <v>213</v>
      </c>
      <c r="AE27" s="314">
        <f>AG27+AI27+AP27</f>
        <v>1501.3448</v>
      </c>
      <c r="AF27" s="314">
        <f>AH27+AJ27+AQ27</f>
        <v>46.4297</v>
      </c>
      <c r="AG27" s="314">
        <v>1443.91</v>
      </c>
      <c r="AH27" s="314">
        <v>45.66</v>
      </c>
      <c r="AI27" s="314">
        <f>AK27+AL27+AN27</f>
        <v>42.57</v>
      </c>
      <c r="AJ27" s="314">
        <f>AM27+AO27</f>
        <v>0.31</v>
      </c>
      <c r="AK27" s="314">
        <v>27.45</v>
      </c>
      <c r="AL27" s="314">
        <v>15.12</v>
      </c>
      <c r="AM27" s="314">
        <v>0.31</v>
      </c>
      <c r="AN27" s="314">
        <v>0</v>
      </c>
      <c r="AO27" s="314">
        <v>0</v>
      </c>
      <c r="AP27" s="314">
        <f>(AG27+AI27)*1%</f>
        <v>14.8648</v>
      </c>
      <c r="AQ27" s="314">
        <f>(AH27+AJ27)*1%</f>
        <v>0.4597</v>
      </c>
      <c r="AR27" s="314">
        <f>AP27*6</f>
        <v>89.1888</v>
      </c>
      <c r="AS27" s="314">
        <f>AQ27*6</f>
        <v>2.7582</v>
      </c>
      <c r="AU27" s="140"/>
    </row>
    <row r="28" spans="1:47" s="62" customFormat="1" ht="84.75" customHeight="1">
      <c r="A28" s="393" t="s">
        <v>441</v>
      </c>
      <c r="B28" s="392"/>
      <c r="C28" s="393" t="s">
        <v>251</v>
      </c>
      <c r="D28" s="394">
        <v>60.78599999999983</v>
      </c>
      <c r="E28" s="397">
        <f t="shared" si="16"/>
        <v>0</v>
      </c>
      <c r="F28" s="394"/>
      <c r="G28" s="396"/>
      <c r="H28" s="396"/>
      <c r="I28" s="396"/>
      <c r="J28" s="396"/>
      <c r="K28" s="397">
        <f>(M28+O28+P28+Q28+S28+U28)*6</f>
        <v>0</v>
      </c>
      <c r="L28" s="397"/>
      <c r="M28" s="394"/>
      <c r="N28" s="394"/>
      <c r="O28" s="394"/>
      <c r="P28" s="394"/>
      <c r="Q28" s="394"/>
      <c r="R28" s="394"/>
      <c r="S28" s="394"/>
      <c r="T28" s="394"/>
      <c r="U28" s="394"/>
      <c r="V28" s="394"/>
      <c r="W28" s="394" t="s">
        <v>591</v>
      </c>
      <c r="X28" s="396"/>
      <c r="Y28" s="396"/>
      <c r="Z28" s="394"/>
      <c r="AA28" s="396"/>
      <c r="AB28" s="396"/>
      <c r="AC28" s="396"/>
      <c r="AD28" s="396"/>
      <c r="AE28" s="394"/>
      <c r="AF28" s="394"/>
      <c r="AG28" s="394"/>
      <c r="AH28" s="394"/>
      <c r="AI28" s="394"/>
      <c r="AJ28" s="394"/>
      <c r="AK28" s="394"/>
      <c r="AL28" s="394"/>
      <c r="AM28" s="394"/>
      <c r="AN28" s="394"/>
      <c r="AO28" s="394"/>
      <c r="AP28" s="394"/>
      <c r="AQ28" s="394"/>
      <c r="AR28" s="394"/>
      <c r="AS28" s="394"/>
      <c r="AU28" s="398"/>
    </row>
    <row r="29" spans="1:47" s="132" customFormat="1" ht="12.75">
      <c r="A29" s="468"/>
      <c r="B29" s="325" t="s">
        <v>26</v>
      </c>
      <c r="C29" s="307" t="s">
        <v>63</v>
      </c>
      <c r="D29" s="317">
        <v>42.13</v>
      </c>
      <c r="E29" s="342">
        <f>SUM(E30:E32)</f>
        <v>102.601107</v>
      </c>
      <c r="F29" s="342">
        <f aca="true" t="shared" si="18" ref="F29:AS29">SUM(F30:F32)</f>
        <v>101.784681</v>
      </c>
      <c r="G29" s="342">
        <f t="shared" si="18"/>
        <v>47</v>
      </c>
      <c r="H29" s="342">
        <f t="shared" si="18"/>
        <v>1</v>
      </c>
      <c r="I29" s="342">
        <f t="shared" si="18"/>
        <v>47</v>
      </c>
      <c r="J29" s="342">
        <f t="shared" si="18"/>
        <v>1</v>
      </c>
      <c r="K29" s="342">
        <f t="shared" si="18"/>
        <v>99.577242</v>
      </c>
      <c r="L29" s="342">
        <f t="shared" si="18"/>
        <v>2.207439</v>
      </c>
      <c r="M29" s="342">
        <f t="shared" si="18"/>
        <v>12.8322</v>
      </c>
      <c r="N29" s="342">
        <f t="shared" si="18"/>
        <v>0.2979</v>
      </c>
      <c r="O29" s="342">
        <f t="shared" si="18"/>
        <v>0</v>
      </c>
      <c r="P29" s="342">
        <f t="shared" si="18"/>
        <v>0.477</v>
      </c>
      <c r="Q29" s="342">
        <f t="shared" si="18"/>
        <v>0</v>
      </c>
      <c r="R29" s="342">
        <f t="shared" si="18"/>
        <v>0</v>
      </c>
      <c r="S29" s="342">
        <f t="shared" si="18"/>
        <v>0.153</v>
      </c>
      <c r="T29" s="342">
        <f t="shared" si="18"/>
        <v>0</v>
      </c>
      <c r="U29" s="342">
        <f t="shared" si="18"/>
        <v>3.134007</v>
      </c>
      <c r="V29" s="342">
        <f t="shared" si="18"/>
        <v>0.0700065</v>
      </c>
      <c r="W29" s="342">
        <f t="shared" si="18"/>
        <v>0</v>
      </c>
      <c r="X29" s="342">
        <f t="shared" si="18"/>
        <v>0</v>
      </c>
      <c r="Y29" s="342">
        <f t="shared" si="18"/>
        <v>0</v>
      </c>
      <c r="Z29" s="342">
        <f t="shared" si="18"/>
        <v>0</v>
      </c>
      <c r="AA29" s="342">
        <f t="shared" si="18"/>
        <v>22</v>
      </c>
      <c r="AB29" s="342">
        <f t="shared" si="18"/>
        <v>1</v>
      </c>
      <c r="AC29" s="342">
        <f t="shared" si="18"/>
        <v>22</v>
      </c>
      <c r="AD29" s="342">
        <f t="shared" si="18"/>
        <v>1</v>
      </c>
      <c r="AE29" s="342">
        <f t="shared" si="18"/>
        <v>13.442291999999998</v>
      </c>
      <c r="AF29" s="342">
        <f t="shared" si="18"/>
        <v>0.300879</v>
      </c>
      <c r="AG29" s="342">
        <f t="shared" si="18"/>
        <v>12.8322</v>
      </c>
      <c r="AH29" s="342">
        <f t="shared" si="18"/>
        <v>0.2979</v>
      </c>
      <c r="AI29" s="342">
        <f t="shared" si="18"/>
        <v>0.477</v>
      </c>
      <c r="AJ29" s="342">
        <f t="shared" si="18"/>
        <v>0</v>
      </c>
      <c r="AK29" s="342">
        <f t="shared" si="18"/>
        <v>0.477</v>
      </c>
      <c r="AL29" s="342">
        <f t="shared" si="18"/>
        <v>0</v>
      </c>
      <c r="AM29" s="342">
        <f t="shared" si="18"/>
        <v>0</v>
      </c>
      <c r="AN29" s="342">
        <f t="shared" si="18"/>
        <v>0</v>
      </c>
      <c r="AO29" s="342">
        <f t="shared" si="18"/>
        <v>0</v>
      </c>
      <c r="AP29" s="342">
        <f t="shared" si="18"/>
        <v>0.133092</v>
      </c>
      <c r="AQ29" s="342">
        <f t="shared" si="18"/>
        <v>0.002979</v>
      </c>
      <c r="AR29" s="342">
        <f t="shared" si="18"/>
        <v>0.7985519999999999</v>
      </c>
      <c r="AS29" s="342">
        <f t="shared" si="18"/>
        <v>0.017874</v>
      </c>
      <c r="AU29" s="140"/>
    </row>
    <row r="30" spans="1:47" s="335" customFormat="1" ht="24" customHeight="1">
      <c r="A30" s="469"/>
      <c r="B30" s="384"/>
      <c r="C30" s="416" t="s">
        <v>301</v>
      </c>
      <c r="D30" s="338">
        <v>31.11</v>
      </c>
      <c r="E30" s="338">
        <f>K30+L30+AR30+AS30</f>
        <v>55.541727</v>
      </c>
      <c r="F30" s="338">
        <f>K30+L30</f>
        <v>55.101681</v>
      </c>
      <c r="G30" s="406">
        <v>25</v>
      </c>
      <c r="H30" s="406">
        <v>0</v>
      </c>
      <c r="I30" s="406">
        <v>25</v>
      </c>
      <c r="J30" s="406">
        <v>0</v>
      </c>
      <c r="K30" s="338">
        <f>(M30+O30+P30+Q30+S30+U30)*6</f>
        <v>55.101681</v>
      </c>
      <c r="L30" s="338">
        <f>(N30+R30+T30+V30)*6</f>
        <v>0</v>
      </c>
      <c r="M30" s="408">
        <v>7.0641</v>
      </c>
      <c r="N30" s="408"/>
      <c r="O30" s="408"/>
      <c r="P30" s="408">
        <v>0.27</v>
      </c>
      <c r="Q30" s="408"/>
      <c r="R30" s="408"/>
      <c r="S30" s="408">
        <v>0.126</v>
      </c>
      <c r="T30" s="408"/>
      <c r="U30" s="408">
        <v>1.7235135</v>
      </c>
      <c r="V30" s="408"/>
      <c r="W30" s="407"/>
      <c r="X30" s="407"/>
      <c r="Y30" s="407"/>
      <c r="Z30" s="407"/>
      <c r="AA30" s="407"/>
      <c r="AB30" s="407"/>
      <c r="AC30" s="407"/>
      <c r="AD30" s="407"/>
      <c r="AE30" s="338">
        <f>AG30+AI30+AP30</f>
        <v>7.4074409999999995</v>
      </c>
      <c r="AF30" s="338">
        <f>AH30+AJ30+AQ30</f>
        <v>0</v>
      </c>
      <c r="AG30" s="418">
        <v>7.0641</v>
      </c>
      <c r="AH30" s="418"/>
      <c r="AI30" s="338">
        <f>AK30+AL30+AN30</f>
        <v>0.27</v>
      </c>
      <c r="AJ30" s="338">
        <f>AM30+AO30</f>
        <v>0</v>
      </c>
      <c r="AK30" s="418">
        <v>0.27</v>
      </c>
      <c r="AL30" s="338">
        <v>0</v>
      </c>
      <c r="AM30" s="338">
        <v>0</v>
      </c>
      <c r="AN30" s="338">
        <v>0</v>
      </c>
      <c r="AO30" s="338">
        <v>0</v>
      </c>
      <c r="AP30" s="338">
        <f>(AG30+AI30)*1%</f>
        <v>0.07334099999999999</v>
      </c>
      <c r="AQ30" s="338">
        <f>(AH30+AJ30)*1%</f>
        <v>0</v>
      </c>
      <c r="AR30" s="338">
        <f>AP30*6</f>
        <v>0.44004599999999994</v>
      </c>
      <c r="AS30" s="338">
        <f>AQ30*6</f>
        <v>0</v>
      </c>
      <c r="AU30" s="337"/>
    </row>
    <row r="31" spans="1:47" s="335" customFormat="1" ht="18.75" customHeight="1">
      <c r="A31" s="469"/>
      <c r="B31" s="384"/>
      <c r="C31" s="416" t="s">
        <v>302</v>
      </c>
      <c r="D31" s="338">
        <v>35.34</v>
      </c>
      <c r="E31" s="338">
        <f>K31+L31+AR31+AS31</f>
        <v>47.05938</v>
      </c>
      <c r="F31" s="338">
        <f>K31+L31</f>
        <v>46.683</v>
      </c>
      <c r="G31" s="410">
        <v>22</v>
      </c>
      <c r="H31" s="410">
        <v>1</v>
      </c>
      <c r="I31" s="410">
        <v>22</v>
      </c>
      <c r="J31" s="410">
        <v>1</v>
      </c>
      <c r="K31" s="338">
        <f>(M31+O31+P31+Q31+S31+U31)*6</f>
        <v>44.475561</v>
      </c>
      <c r="L31" s="338">
        <f>(N31+R31+T31+V31)*6</f>
        <v>2.207439</v>
      </c>
      <c r="M31" s="409">
        <v>5.7681</v>
      </c>
      <c r="N31" s="409">
        <v>0.2979</v>
      </c>
      <c r="O31" s="409"/>
      <c r="P31" s="409">
        <v>0.207</v>
      </c>
      <c r="Q31" s="409"/>
      <c r="R31" s="409"/>
      <c r="S31" s="409">
        <v>0.027</v>
      </c>
      <c r="T31" s="409">
        <v>0</v>
      </c>
      <c r="U31" s="409">
        <v>1.4104935</v>
      </c>
      <c r="V31" s="409">
        <v>0.0700065</v>
      </c>
      <c r="W31" s="417"/>
      <c r="X31" s="417"/>
      <c r="Y31" s="417"/>
      <c r="Z31" s="417"/>
      <c r="AA31" s="406">
        <v>22</v>
      </c>
      <c r="AB31" s="406">
        <v>1</v>
      </c>
      <c r="AC31" s="406">
        <v>22</v>
      </c>
      <c r="AD31" s="406">
        <v>1</v>
      </c>
      <c r="AE31" s="338">
        <f>AG31+AI31+AP31</f>
        <v>6.034851</v>
      </c>
      <c r="AF31" s="338">
        <f>AH31+AJ31+AQ31</f>
        <v>0.300879</v>
      </c>
      <c r="AG31" s="419">
        <v>5.7681</v>
      </c>
      <c r="AH31" s="419">
        <v>0.2979</v>
      </c>
      <c r="AI31" s="338">
        <f>AK31+AL31+AN31</f>
        <v>0.207</v>
      </c>
      <c r="AJ31" s="338">
        <f>AM31+AO31</f>
        <v>0</v>
      </c>
      <c r="AK31" s="419">
        <v>0.207</v>
      </c>
      <c r="AL31" s="338">
        <v>0</v>
      </c>
      <c r="AM31" s="338">
        <v>0</v>
      </c>
      <c r="AN31" s="338">
        <v>0</v>
      </c>
      <c r="AO31" s="338">
        <v>0</v>
      </c>
      <c r="AP31" s="338">
        <f>(AG31+AI31)*1%</f>
        <v>0.059751</v>
      </c>
      <c r="AQ31" s="338">
        <f>(AH31+AJ31)*1%</f>
        <v>0.002979</v>
      </c>
      <c r="AR31" s="338">
        <f>AP31*6</f>
        <v>0.358506</v>
      </c>
      <c r="AS31" s="338">
        <f>AQ31*6</f>
        <v>0.017874</v>
      </c>
      <c r="AU31" s="337"/>
    </row>
    <row r="32" spans="1:47" s="69" customFormat="1" ht="30" customHeight="1">
      <c r="A32" s="393" t="s">
        <v>441</v>
      </c>
      <c r="B32" s="455"/>
      <c r="C32" s="462" t="s">
        <v>524</v>
      </c>
      <c r="D32" s="394">
        <v>42.13</v>
      </c>
      <c r="E32" s="395"/>
      <c r="F32" s="394"/>
      <c r="G32" s="396"/>
      <c r="H32" s="396"/>
      <c r="I32" s="396"/>
      <c r="J32" s="396"/>
      <c r="K32" s="395">
        <f>(M32+O32+P32+Q32+S32+U32)*6</f>
        <v>0</v>
      </c>
      <c r="L32" s="397"/>
      <c r="M32" s="394"/>
      <c r="N32" s="394"/>
      <c r="O32" s="394"/>
      <c r="P32" s="394"/>
      <c r="Q32" s="394"/>
      <c r="R32" s="394"/>
      <c r="S32" s="394"/>
      <c r="T32" s="394"/>
      <c r="U32" s="394"/>
      <c r="V32" s="394"/>
      <c r="W32" s="394" t="s">
        <v>590</v>
      </c>
      <c r="X32" s="396"/>
      <c r="Y32" s="396"/>
      <c r="Z32" s="394"/>
      <c r="AA32" s="396"/>
      <c r="AB32" s="396"/>
      <c r="AC32" s="396"/>
      <c r="AD32" s="396"/>
      <c r="AE32" s="394"/>
      <c r="AF32" s="394"/>
      <c r="AG32" s="394"/>
      <c r="AH32" s="394"/>
      <c r="AI32" s="394"/>
      <c r="AJ32" s="394"/>
      <c r="AK32" s="394"/>
      <c r="AL32" s="394"/>
      <c r="AM32" s="394"/>
      <c r="AN32" s="394"/>
      <c r="AO32" s="394"/>
      <c r="AP32" s="394"/>
      <c r="AQ32" s="394"/>
      <c r="AR32" s="394"/>
      <c r="AS32" s="394"/>
      <c r="AU32" s="398"/>
    </row>
    <row r="33" spans="1:47" s="132" customFormat="1" ht="12.75">
      <c r="A33" s="468"/>
      <c r="B33" s="325" t="s">
        <v>28</v>
      </c>
      <c r="C33" s="307" t="s">
        <v>29</v>
      </c>
      <c r="D33" s="317">
        <v>630.2511399999996</v>
      </c>
      <c r="E33" s="342">
        <f>E34+E43+E44+E45</f>
        <v>749.1231000000001</v>
      </c>
      <c r="F33" s="342">
        <f aca="true" t="shared" si="19" ref="F33:AS33">F34+F43+F44+F45</f>
        <v>744.0300000000001</v>
      </c>
      <c r="G33" s="342">
        <f t="shared" si="19"/>
        <v>312</v>
      </c>
      <c r="H33" s="342">
        <f t="shared" si="19"/>
        <v>71</v>
      </c>
      <c r="I33" s="342">
        <f t="shared" si="19"/>
        <v>273</v>
      </c>
      <c r="J33" s="342">
        <f t="shared" si="19"/>
        <v>68</v>
      </c>
      <c r="K33" s="342">
        <f t="shared" si="19"/>
        <v>629.91</v>
      </c>
      <c r="L33" s="342">
        <f t="shared" si="19"/>
        <v>114.12</v>
      </c>
      <c r="M33" s="342">
        <f t="shared" si="19"/>
        <v>78.22999999999999</v>
      </c>
      <c r="N33" s="342">
        <f t="shared" si="19"/>
        <v>15.250000000000002</v>
      </c>
      <c r="O33" s="342">
        <f t="shared" si="19"/>
        <v>1.73</v>
      </c>
      <c r="P33" s="342">
        <f t="shared" si="19"/>
        <v>2.5660000000000003</v>
      </c>
      <c r="Q33" s="342">
        <f t="shared" si="19"/>
        <v>0.7120000000000001</v>
      </c>
      <c r="R33" s="342">
        <f t="shared" si="19"/>
        <v>0.09</v>
      </c>
      <c r="S33" s="342">
        <f t="shared" si="19"/>
        <v>2.9469999999999996</v>
      </c>
      <c r="T33" s="342">
        <f t="shared" si="19"/>
        <v>0.03</v>
      </c>
      <c r="U33" s="342">
        <f t="shared" si="19"/>
        <v>18.8</v>
      </c>
      <c r="V33" s="342">
        <f t="shared" si="19"/>
        <v>3.65</v>
      </c>
      <c r="W33" s="342">
        <f t="shared" si="19"/>
        <v>0</v>
      </c>
      <c r="X33" s="342">
        <f t="shared" si="19"/>
        <v>250</v>
      </c>
      <c r="Y33" s="342">
        <f t="shared" si="19"/>
        <v>52</v>
      </c>
      <c r="Z33" s="342">
        <f t="shared" si="19"/>
        <v>188.85999999999999</v>
      </c>
      <c r="AA33" s="342">
        <f t="shared" si="19"/>
        <v>264</v>
      </c>
      <c r="AB33" s="342">
        <f t="shared" si="19"/>
        <v>61</v>
      </c>
      <c r="AC33" s="342">
        <f t="shared" si="19"/>
        <v>262</v>
      </c>
      <c r="AD33" s="342">
        <f t="shared" si="19"/>
        <v>60</v>
      </c>
      <c r="AE33" s="342">
        <f t="shared" si="19"/>
        <v>74.30065</v>
      </c>
      <c r="AF33" s="342">
        <f t="shared" si="19"/>
        <v>11.433200000000001</v>
      </c>
      <c r="AG33" s="342">
        <f t="shared" si="19"/>
        <v>70.27999999999999</v>
      </c>
      <c r="AH33" s="342">
        <f t="shared" si="19"/>
        <v>11.32</v>
      </c>
      <c r="AI33" s="342">
        <f t="shared" si="19"/>
        <v>3.285000000000001</v>
      </c>
      <c r="AJ33" s="342">
        <f t="shared" si="19"/>
        <v>0</v>
      </c>
      <c r="AK33" s="342">
        <f t="shared" si="19"/>
        <v>2.005</v>
      </c>
      <c r="AL33" s="342">
        <f t="shared" si="19"/>
        <v>1.28</v>
      </c>
      <c r="AM33" s="342">
        <f t="shared" si="19"/>
        <v>0</v>
      </c>
      <c r="AN33" s="342">
        <f t="shared" si="19"/>
        <v>0</v>
      </c>
      <c r="AO33" s="342">
        <f t="shared" si="19"/>
        <v>0</v>
      </c>
      <c r="AP33" s="342">
        <f t="shared" si="19"/>
        <v>0.73565</v>
      </c>
      <c r="AQ33" s="342">
        <f t="shared" si="19"/>
        <v>0.1132</v>
      </c>
      <c r="AR33" s="342">
        <f t="shared" si="19"/>
        <v>4.4139</v>
      </c>
      <c r="AS33" s="342">
        <f t="shared" si="19"/>
        <v>0.6791999999999999</v>
      </c>
      <c r="AU33" s="140"/>
    </row>
    <row r="34" spans="1:47" ht="12.75">
      <c r="A34" s="470"/>
      <c r="B34" s="294" t="s">
        <v>459</v>
      </c>
      <c r="C34" s="284" t="str">
        <f>'2c moi'!B30</f>
        <v>Sở VHTTDL</v>
      </c>
      <c r="D34" s="317">
        <v>575.7195399999996</v>
      </c>
      <c r="E34" s="342">
        <f>SUM(E35:E42)</f>
        <v>542.7726000000001</v>
      </c>
      <c r="F34" s="317">
        <f aca="true" t="shared" si="20" ref="F34:AS34">SUM(F35:F42)</f>
        <v>538.5600000000001</v>
      </c>
      <c r="G34" s="330">
        <f t="shared" si="20"/>
        <v>238</v>
      </c>
      <c r="H34" s="330">
        <f t="shared" si="20"/>
        <v>28</v>
      </c>
      <c r="I34" s="330">
        <f t="shared" si="20"/>
        <v>212</v>
      </c>
      <c r="J34" s="330">
        <f t="shared" si="20"/>
        <v>30</v>
      </c>
      <c r="K34" s="317">
        <f t="shared" si="20"/>
        <v>487.38</v>
      </c>
      <c r="L34" s="317">
        <f t="shared" si="20"/>
        <v>51.18</v>
      </c>
      <c r="M34" s="317">
        <f t="shared" si="20"/>
        <v>61.13999999999999</v>
      </c>
      <c r="N34" s="317">
        <f t="shared" si="20"/>
        <v>6.880000000000001</v>
      </c>
      <c r="O34" s="317">
        <f t="shared" si="20"/>
        <v>0.25</v>
      </c>
      <c r="P34" s="317">
        <f t="shared" si="20"/>
        <v>1.86</v>
      </c>
      <c r="Q34" s="317">
        <f t="shared" si="20"/>
        <v>0.6</v>
      </c>
      <c r="R34" s="317">
        <f t="shared" si="20"/>
        <v>0</v>
      </c>
      <c r="S34" s="317">
        <f t="shared" si="20"/>
        <v>2.8</v>
      </c>
      <c r="T34" s="317">
        <f t="shared" si="20"/>
        <v>0.01</v>
      </c>
      <c r="U34" s="317">
        <f t="shared" si="20"/>
        <v>14.579999999999998</v>
      </c>
      <c r="V34" s="317">
        <f t="shared" si="20"/>
        <v>1.6400000000000001</v>
      </c>
      <c r="W34" s="317">
        <f t="shared" si="20"/>
        <v>0</v>
      </c>
      <c r="X34" s="317">
        <f t="shared" si="20"/>
        <v>214</v>
      </c>
      <c r="Y34" s="317">
        <f t="shared" si="20"/>
        <v>31</v>
      </c>
      <c r="Z34" s="317">
        <f t="shared" si="20"/>
        <v>164.07999999999998</v>
      </c>
      <c r="AA34" s="317">
        <f t="shared" si="20"/>
        <v>224</v>
      </c>
      <c r="AB34" s="317">
        <f t="shared" si="20"/>
        <v>35</v>
      </c>
      <c r="AC34" s="317">
        <f t="shared" si="20"/>
        <v>227</v>
      </c>
      <c r="AD34" s="317">
        <f t="shared" si="20"/>
        <v>39</v>
      </c>
      <c r="AE34" s="317">
        <f t="shared" si="20"/>
        <v>63.9027</v>
      </c>
      <c r="AF34" s="317">
        <f t="shared" si="20"/>
        <v>7.0094</v>
      </c>
      <c r="AG34" s="317">
        <f t="shared" si="20"/>
        <v>60.55</v>
      </c>
      <c r="AH34" s="317">
        <f t="shared" si="20"/>
        <v>6.94</v>
      </c>
      <c r="AI34" s="317">
        <f t="shared" si="20"/>
        <v>2.7200000000000006</v>
      </c>
      <c r="AJ34" s="317">
        <f t="shared" si="20"/>
        <v>0</v>
      </c>
      <c r="AK34" s="317">
        <f t="shared" si="20"/>
        <v>1.54</v>
      </c>
      <c r="AL34" s="317">
        <f t="shared" si="20"/>
        <v>1.18</v>
      </c>
      <c r="AM34" s="317">
        <f t="shared" si="20"/>
        <v>0</v>
      </c>
      <c r="AN34" s="317">
        <f t="shared" si="20"/>
        <v>0</v>
      </c>
      <c r="AO34" s="317">
        <f t="shared" si="20"/>
        <v>0</v>
      </c>
      <c r="AP34" s="317">
        <f t="shared" si="20"/>
        <v>0.6327</v>
      </c>
      <c r="AQ34" s="317">
        <f t="shared" si="20"/>
        <v>0.06939999999999999</v>
      </c>
      <c r="AR34" s="317">
        <f t="shared" si="20"/>
        <v>3.7962000000000002</v>
      </c>
      <c r="AS34" s="317">
        <f t="shared" si="20"/>
        <v>0.41639999999999994</v>
      </c>
      <c r="AU34" s="140"/>
    </row>
    <row r="35" spans="1:47" s="190" customFormat="1" ht="12.75">
      <c r="A35" s="472"/>
      <c r="B35" s="355"/>
      <c r="C35" s="319" t="s">
        <v>252</v>
      </c>
      <c r="D35" s="356">
        <v>79.84511999999995</v>
      </c>
      <c r="E35" s="356">
        <f>K35+L35+AR35+AS35</f>
        <v>77.358</v>
      </c>
      <c r="F35" s="356">
        <f>K35+L35</f>
        <v>76.74000000000001</v>
      </c>
      <c r="G35" s="357">
        <v>32</v>
      </c>
      <c r="H35" s="357">
        <v>2</v>
      </c>
      <c r="I35" s="357">
        <v>30</v>
      </c>
      <c r="J35" s="357">
        <v>2</v>
      </c>
      <c r="K35" s="356">
        <f aca="true" t="shared" si="21" ref="K35:K47">(M35+O35+P35+Q35+S35+U35)*6</f>
        <v>71.46000000000001</v>
      </c>
      <c r="L35" s="356">
        <f aca="true" t="shared" si="22" ref="L35:L47">(N35+R35+T35+V35)*6</f>
        <v>5.28</v>
      </c>
      <c r="M35" s="356">
        <v>9.01</v>
      </c>
      <c r="N35" s="356">
        <v>0.71</v>
      </c>
      <c r="O35" s="356">
        <v>0</v>
      </c>
      <c r="P35" s="356">
        <v>0.27</v>
      </c>
      <c r="Q35" s="356">
        <v>0.31</v>
      </c>
      <c r="R35" s="356">
        <v>0</v>
      </c>
      <c r="S35" s="356">
        <v>0.07</v>
      </c>
      <c r="T35" s="356">
        <v>0</v>
      </c>
      <c r="U35" s="356">
        <v>2.25</v>
      </c>
      <c r="V35" s="356">
        <v>0.17</v>
      </c>
      <c r="W35" s="356"/>
      <c r="X35" s="357">
        <v>30</v>
      </c>
      <c r="Y35" s="357">
        <v>2</v>
      </c>
      <c r="Z35" s="356">
        <v>26.82</v>
      </c>
      <c r="AA35" s="357">
        <v>29</v>
      </c>
      <c r="AB35" s="357">
        <v>2</v>
      </c>
      <c r="AC35" s="357">
        <v>30</v>
      </c>
      <c r="AD35" s="357">
        <v>2</v>
      </c>
      <c r="AE35" s="356">
        <f aca="true" t="shared" si="23" ref="AE35:AF42">AG35+AI35+AP35</f>
        <v>9.6859</v>
      </c>
      <c r="AF35" s="356">
        <f t="shared" si="23"/>
        <v>0.7171</v>
      </c>
      <c r="AG35" s="356">
        <v>9.01</v>
      </c>
      <c r="AH35" s="356">
        <v>0.71</v>
      </c>
      <c r="AI35" s="356">
        <f>AK35+AL35+AN35</f>
        <v>0.5800000000000001</v>
      </c>
      <c r="AJ35" s="356">
        <f>AM35+AO35</f>
        <v>0</v>
      </c>
      <c r="AK35" s="356">
        <v>0.27</v>
      </c>
      <c r="AL35" s="356">
        <v>0.31</v>
      </c>
      <c r="AM35" s="356">
        <v>0</v>
      </c>
      <c r="AN35" s="356">
        <v>0</v>
      </c>
      <c r="AO35" s="356">
        <v>0</v>
      </c>
      <c r="AP35" s="356">
        <f aca="true" t="shared" si="24" ref="AP35:AQ42">(AG35+AI35)*1%</f>
        <v>0.0959</v>
      </c>
      <c r="AQ35" s="356">
        <f t="shared" si="24"/>
        <v>0.0070999999999999995</v>
      </c>
      <c r="AR35" s="356">
        <f aca="true" t="shared" si="25" ref="AR35:AS42">AP35*6</f>
        <v>0.5754</v>
      </c>
      <c r="AS35" s="356">
        <f t="shared" si="25"/>
        <v>0.0426</v>
      </c>
      <c r="AU35" s="303"/>
    </row>
    <row r="36" spans="1:47" s="190" customFormat="1" ht="12.75">
      <c r="A36" s="472"/>
      <c r="B36" s="355"/>
      <c r="C36" s="319" t="s">
        <v>259</v>
      </c>
      <c r="D36" s="356">
        <v>116.49239999999998</v>
      </c>
      <c r="E36" s="356">
        <f aca="true" t="shared" si="26" ref="E36:E46">K36+L36+AR36+AS36</f>
        <v>103.73400000000001</v>
      </c>
      <c r="F36" s="356">
        <f aca="true" t="shared" si="27" ref="F36:F42">K36+L36</f>
        <v>102.96000000000001</v>
      </c>
      <c r="G36" s="357">
        <v>44</v>
      </c>
      <c r="H36" s="357">
        <v>1</v>
      </c>
      <c r="I36" s="357">
        <v>44</v>
      </c>
      <c r="J36" s="357">
        <v>1</v>
      </c>
      <c r="K36" s="356">
        <f t="shared" si="21"/>
        <v>101.46000000000001</v>
      </c>
      <c r="L36" s="356">
        <f t="shared" si="22"/>
        <v>1.5</v>
      </c>
      <c r="M36" s="356">
        <v>12.05</v>
      </c>
      <c r="N36" s="356">
        <v>0.2</v>
      </c>
      <c r="O36" s="356">
        <v>0</v>
      </c>
      <c r="P36" s="356">
        <v>0.04</v>
      </c>
      <c r="Q36" s="356">
        <v>0</v>
      </c>
      <c r="R36" s="356">
        <v>0</v>
      </c>
      <c r="S36" s="356">
        <v>1.96</v>
      </c>
      <c r="T36" s="356">
        <v>0</v>
      </c>
      <c r="U36" s="356">
        <v>2.86</v>
      </c>
      <c r="V36" s="356">
        <v>0.05</v>
      </c>
      <c r="W36" s="356"/>
      <c r="X36" s="357">
        <v>44</v>
      </c>
      <c r="Y36" s="357">
        <v>1</v>
      </c>
      <c r="Z36" s="356">
        <v>19.98</v>
      </c>
      <c r="AA36" s="357">
        <v>44</v>
      </c>
      <c r="AB36" s="357">
        <v>1</v>
      </c>
      <c r="AC36" s="357">
        <v>44</v>
      </c>
      <c r="AD36" s="357">
        <v>1</v>
      </c>
      <c r="AE36" s="356">
        <f t="shared" si="23"/>
        <v>12.827000000000002</v>
      </c>
      <c r="AF36" s="356">
        <f t="shared" si="23"/>
        <v>0.202</v>
      </c>
      <c r="AG36" s="356">
        <v>12.05</v>
      </c>
      <c r="AH36" s="356">
        <v>0.2</v>
      </c>
      <c r="AI36" s="356">
        <f aca="true" t="shared" si="28" ref="AI36:AI55">AK36+AL36+AN36</f>
        <v>0.65</v>
      </c>
      <c r="AJ36" s="356">
        <f aca="true" t="shared" si="29" ref="AJ36:AJ46">AM36+AO36</f>
        <v>0</v>
      </c>
      <c r="AK36" s="356">
        <v>0.04</v>
      </c>
      <c r="AL36" s="356">
        <v>0.61</v>
      </c>
      <c r="AM36" s="356">
        <v>0</v>
      </c>
      <c r="AN36" s="356">
        <v>0</v>
      </c>
      <c r="AO36" s="356">
        <v>0</v>
      </c>
      <c r="AP36" s="356">
        <f t="shared" si="24"/>
        <v>0.127</v>
      </c>
      <c r="AQ36" s="356">
        <f t="shared" si="24"/>
        <v>0.002</v>
      </c>
      <c r="AR36" s="356">
        <f t="shared" si="25"/>
        <v>0.762</v>
      </c>
      <c r="AS36" s="356">
        <f t="shared" si="25"/>
        <v>0.012</v>
      </c>
      <c r="AU36" s="303"/>
    </row>
    <row r="37" spans="1:47" s="190" customFormat="1" ht="12.75">
      <c r="A37" s="472"/>
      <c r="B37" s="355"/>
      <c r="C37" s="319" t="s">
        <v>253</v>
      </c>
      <c r="D37" s="356">
        <v>69.53550000000017</v>
      </c>
      <c r="E37" s="356">
        <f t="shared" si="26"/>
        <v>72.49980000000001</v>
      </c>
      <c r="F37" s="356">
        <f t="shared" si="27"/>
        <v>71.94</v>
      </c>
      <c r="G37" s="357">
        <v>31</v>
      </c>
      <c r="H37" s="357">
        <v>4</v>
      </c>
      <c r="I37" s="357">
        <v>27</v>
      </c>
      <c r="J37" s="357">
        <v>3</v>
      </c>
      <c r="K37" s="356">
        <f t="shared" si="21"/>
        <v>67.38</v>
      </c>
      <c r="L37" s="356">
        <f t="shared" si="22"/>
        <v>4.5600000000000005</v>
      </c>
      <c r="M37" s="356">
        <v>8.4</v>
      </c>
      <c r="N37" s="356">
        <v>0.61</v>
      </c>
      <c r="O37" s="356">
        <v>0</v>
      </c>
      <c r="P37" s="356">
        <v>0.29</v>
      </c>
      <c r="Q37" s="356">
        <v>0.03</v>
      </c>
      <c r="R37" s="356">
        <v>0</v>
      </c>
      <c r="S37" s="356">
        <v>0.55</v>
      </c>
      <c r="T37" s="356">
        <v>0.01</v>
      </c>
      <c r="U37" s="356">
        <v>1.96</v>
      </c>
      <c r="V37" s="356">
        <v>0.14</v>
      </c>
      <c r="W37" s="356"/>
      <c r="X37" s="357">
        <v>27</v>
      </c>
      <c r="Y37" s="357">
        <v>3</v>
      </c>
      <c r="Z37" s="356">
        <v>0</v>
      </c>
      <c r="AA37" s="357">
        <v>31</v>
      </c>
      <c r="AB37" s="357">
        <v>4</v>
      </c>
      <c r="AC37" s="357">
        <v>27</v>
      </c>
      <c r="AD37" s="357">
        <v>3</v>
      </c>
      <c r="AE37" s="356">
        <f t="shared" si="23"/>
        <v>8.8072</v>
      </c>
      <c r="AF37" s="356">
        <f t="shared" si="23"/>
        <v>0.6161</v>
      </c>
      <c r="AG37" s="356">
        <v>8.4</v>
      </c>
      <c r="AH37" s="356">
        <v>0.61</v>
      </c>
      <c r="AI37" s="356">
        <f t="shared" si="28"/>
        <v>0.32</v>
      </c>
      <c r="AJ37" s="356">
        <f t="shared" si="29"/>
        <v>0</v>
      </c>
      <c r="AK37" s="356">
        <v>0.32</v>
      </c>
      <c r="AL37" s="356">
        <v>0</v>
      </c>
      <c r="AM37" s="356">
        <v>0</v>
      </c>
      <c r="AN37" s="356">
        <v>0</v>
      </c>
      <c r="AO37" s="356">
        <v>0</v>
      </c>
      <c r="AP37" s="356">
        <f t="shared" si="24"/>
        <v>0.08720000000000001</v>
      </c>
      <c r="AQ37" s="356">
        <f t="shared" si="24"/>
        <v>0.0061</v>
      </c>
      <c r="AR37" s="356">
        <f t="shared" si="25"/>
        <v>0.5232000000000001</v>
      </c>
      <c r="AS37" s="356">
        <f t="shared" si="25"/>
        <v>0.0366</v>
      </c>
      <c r="AU37" s="303"/>
    </row>
    <row r="38" spans="1:47" s="190" customFormat="1" ht="12.75">
      <c r="A38" s="472"/>
      <c r="B38" s="355"/>
      <c r="C38" s="319" t="s">
        <v>254</v>
      </c>
      <c r="D38" s="356">
        <v>84.43775999999991</v>
      </c>
      <c r="E38" s="356">
        <f t="shared" si="26"/>
        <v>82.0968</v>
      </c>
      <c r="F38" s="356">
        <f t="shared" si="27"/>
        <v>81.47999999999999</v>
      </c>
      <c r="G38" s="357">
        <v>33</v>
      </c>
      <c r="H38" s="357">
        <v>10</v>
      </c>
      <c r="I38" s="357">
        <v>29</v>
      </c>
      <c r="J38" s="357">
        <v>7</v>
      </c>
      <c r="K38" s="356">
        <f t="shared" si="21"/>
        <v>70.97999999999999</v>
      </c>
      <c r="L38" s="356">
        <f t="shared" si="22"/>
        <v>10.5</v>
      </c>
      <c r="M38" s="356">
        <v>9.11</v>
      </c>
      <c r="N38" s="356">
        <v>1.43</v>
      </c>
      <c r="O38" s="356">
        <v>0</v>
      </c>
      <c r="P38" s="356">
        <v>0.41</v>
      </c>
      <c r="Q38" s="356">
        <v>0.02</v>
      </c>
      <c r="R38" s="356">
        <v>0</v>
      </c>
      <c r="S38" s="356">
        <v>0.12</v>
      </c>
      <c r="T38" s="356">
        <v>0</v>
      </c>
      <c r="U38" s="356">
        <v>2.17</v>
      </c>
      <c r="V38" s="356">
        <v>0.32</v>
      </c>
      <c r="W38" s="356"/>
      <c r="X38" s="357">
        <v>28</v>
      </c>
      <c r="Y38" s="357">
        <v>8</v>
      </c>
      <c r="Z38" s="356">
        <v>35</v>
      </c>
      <c r="AA38" s="357">
        <v>33</v>
      </c>
      <c r="AB38" s="357">
        <v>10</v>
      </c>
      <c r="AC38" s="357">
        <v>29</v>
      </c>
      <c r="AD38" s="357"/>
      <c r="AE38" s="356">
        <f t="shared" si="23"/>
        <v>8.9385</v>
      </c>
      <c r="AF38" s="356">
        <f t="shared" si="23"/>
        <v>1.4443</v>
      </c>
      <c r="AG38" s="356">
        <v>8.5</v>
      </c>
      <c r="AH38" s="356">
        <v>1.43</v>
      </c>
      <c r="AI38" s="356">
        <f t="shared" si="28"/>
        <v>0.35000000000000003</v>
      </c>
      <c r="AJ38" s="356">
        <f t="shared" si="29"/>
        <v>0</v>
      </c>
      <c r="AK38" s="356">
        <v>0.33</v>
      </c>
      <c r="AL38" s="356">
        <v>0.02</v>
      </c>
      <c r="AM38" s="356">
        <v>0</v>
      </c>
      <c r="AN38" s="356">
        <v>0</v>
      </c>
      <c r="AO38" s="356">
        <v>0</v>
      </c>
      <c r="AP38" s="356">
        <f t="shared" si="24"/>
        <v>0.0885</v>
      </c>
      <c r="AQ38" s="356">
        <f t="shared" si="24"/>
        <v>0.0143</v>
      </c>
      <c r="AR38" s="356">
        <f t="shared" si="25"/>
        <v>0.5309999999999999</v>
      </c>
      <c r="AS38" s="356">
        <f t="shared" si="25"/>
        <v>0.0858</v>
      </c>
      <c r="AU38" s="303"/>
    </row>
    <row r="39" spans="1:47" s="190" customFormat="1" ht="12.75">
      <c r="A39" s="472"/>
      <c r="B39" s="355"/>
      <c r="C39" s="319" t="s">
        <v>255</v>
      </c>
      <c r="D39" s="356">
        <v>89.72465999999969</v>
      </c>
      <c r="E39" s="356">
        <f t="shared" si="26"/>
        <v>76.5048</v>
      </c>
      <c r="F39" s="356">
        <f t="shared" si="27"/>
        <v>75.9</v>
      </c>
      <c r="G39" s="357">
        <v>35</v>
      </c>
      <c r="H39" s="357"/>
      <c r="I39" s="357">
        <v>24</v>
      </c>
      <c r="J39" s="357">
        <v>7</v>
      </c>
      <c r="K39" s="356">
        <f t="shared" si="21"/>
        <v>61.68000000000001</v>
      </c>
      <c r="L39" s="356">
        <f t="shared" si="22"/>
        <v>14.22</v>
      </c>
      <c r="M39" s="356">
        <v>7.61</v>
      </c>
      <c r="N39" s="356">
        <v>1.89</v>
      </c>
      <c r="O39" s="356">
        <v>0.25</v>
      </c>
      <c r="P39" s="356">
        <v>0.34</v>
      </c>
      <c r="Q39" s="356">
        <v>0.24</v>
      </c>
      <c r="R39" s="356">
        <v>0</v>
      </c>
      <c r="S39" s="356">
        <v>0</v>
      </c>
      <c r="T39" s="356">
        <v>0</v>
      </c>
      <c r="U39" s="356">
        <v>1.84</v>
      </c>
      <c r="V39" s="356">
        <v>0.48</v>
      </c>
      <c r="W39" s="356"/>
      <c r="X39" s="357">
        <v>24</v>
      </c>
      <c r="Y39" s="357">
        <v>7</v>
      </c>
      <c r="Z39" s="356">
        <v>0</v>
      </c>
      <c r="AA39" s="357">
        <v>24</v>
      </c>
      <c r="AB39" s="357">
        <v>7</v>
      </c>
      <c r="AC39" s="357">
        <v>24</v>
      </c>
      <c r="AD39" s="357">
        <v>7</v>
      </c>
      <c r="AE39" s="356">
        <f t="shared" si="23"/>
        <v>8.2719</v>
      </c>
      <c r="AF39" s="356">
        <f t="shared" si="23"/>
        <v>1.9088999999999998</v>
      </c>
      <c r="AG39" s="356">
        <v>7.61</v>
      </c>
      <c r="AH39" s="356">
        <v>1.89</v>
      </c>
      <c r="AI39" s="356">
        <f t="shared" si="28"/>
        <v>0.5800000000000001</v>
      </c>
      <c r="AJ39" s="356">
        <f t="shared" si="29"/>
        <v>0</v>
      </c>
      <c r="AK39" s="356">
        <v>0.34</v>
      </c>
      <c r="AL39" s="356">
        <v>0.24</v>
      </c>
      <c r="AM39" s="356">
        <v>0</v>
      </c>
      <c r="AN39" s="356">
        <v>0</v>
      </c>
      <c r="AO39" s="356">
        <v>0</v>
      </c>
      <c r="AP39" s="356">
        <f t="shared" si="24"/>
        <v>0.08190000000000001</v>
      </c>
      <c r="AQ39" s="356">
        <f t="shared" si="24"/>
        <v>0.0189</v>
      </c>
      <c r="AR39" s="356">
        <f t="shared" si="25"/>
        <v>0.49140000000000006</v>
      </c>
      <c r="AS39" s="356">
        <f t="shared" si="25"/>
        <v>0.1134</v>
      </c>
      <c r="AU39" s="303"/>
    </row>
    <row r="40" spans="1:47" s="190" customFormat="1" ht="12.75">
      <c r="A40" s="472"/>
      <c r="B40" s="355"/>
      <c r="C40" s="319" t="s">
        <v>256</v>
      </c>
      <c r="D40" s="356">
        <v>66.56015999999994</v>
      </c>
      <c r="E40" s="356">
        <f t="shared" si="26"/>
        <v>58.856399999999994</v>
      </c>
      <c r="F40" s="356">
        <f t="shared" si="27"/>
        <v>58.379999999999995</v>
      </c>
      <c r="G40" s="357">
        <v>34</v>
      </c>
      <c r="H40" s="357">
        <v>2</v>
      </c>
      <c r="I40" s="357">
        <v>30</v>
      </c>
      <c r="J40" s="357">
        <v>2</v>
      </c>
      <c r="K40" s="356">
        <f t="shared" si="21"/>
        <v>54.12</v>
      </c>
      <c r="L40" s="356">
        <f t="shared" si="22"/>
        <v>4.26</v>
      </c>
      <c r="M40" s="356">
        <v>7.3</v>
      </c>
      <c r="N40" s="356">
        <v>0.58</v>
      </c>
      <c r="O40" s="356">
        <v>0</v>
      </c>
      <c r="P40" s="356">
        <v>0.06</v>
      </c>
      <c r="Q40" s="356">
        <v>0</v>
      </c>
      <c r="R40" s="356">
        <v>0</v>
      </c>
      <c r="S40" s="356">
        <v>0</v>
      </c>
      <c r="T40" s="356">
        <v>0</v>
      </c>
      <c r="U40" s="356">
        <v>1.66</v>
      </c>
      <c r="V40" s="356">
        <v>0.13</v>
      </c>
      <c r="W40" s="356"/>
      <c r="X40" s="357">
        <v>32</v>
      </c>
      <c r="Y40" s="357">
        <v>2</v>
      </c>
      <c r="Z40" s="356">
        <v>61.71</v>
      </c>
      <c r="AA40" s="357">
        <v>34</v>
      </c>
      <c r="AB40" s="357">
        <v>2</v>
      </c>
      <c r="AC40" s="357">
        <v>45</v>
      </c>
      <c r="AD40" s="357">
        <v>18</v>
      </c>
      <c r="AE40" s="356">
        <f t="shared" si="23"/>
        <v>7.433599999999999</v>
      </c>
      <c r="AF40" s="356">
        <f t="shared" si="23"/>
        <v>0.5858</v>
      </c>
      <c r="AG40" s="356">
        <v>7.3</v>
      </c>
      <c r="AH40" s="356">
        <v>0.58</v>
      </c>
      <c r="AI40" s="356">
        <f t="shared" si="28"/>
        <v>0.06</v>
      </c>
      <c r="AJ40" s="356">
        <f t="shared" si="29"/>
        <v>0</v>
      </c>
      <c r="AK40" s="356">
        <v>0.06</v>
      </c>
      <c r="AL40" s="356">
        <v>0</v>
      </c>
      <c r="AM40" s="356">
        <v>0</v>
      </c>
      <c r="AN40" s="356">
        <v>0</v>
      </c>
      <c r="AO40" s="356">
        <v>0</v>
      </c>
      <c r="AP40" s="356">
        <f t="shared" si="24"/>
        <v>0.0736</v>
      </c>
      <c r="AQ40" s="356">
        <f t="shared" si="24"/>
        <v>0.0058</v>
      </c>
      <c r="AR40" s="356">
        <f t="shared" si="25"/>
        <v>0.4416</v>
      </c>
      <c r="AS40" s="356">
        <f t="shared" si="25"/>
        <v>0.0348</v>
      </c>
      <c r="AU40" s="303"/>
    </row>
    <row r="41" spans="1:47" s="190" customFormat="1" ht="12.75">
      <c r="A41" s="472"/>
      <c r="B41" s="355"/>
      <c r="C41" s="319" t="s">
        <v>260</v>
      </c>
      <c r="D41" s="356">
        <v>46.699139999999936</v>
      </c>
      <c r="E41" s="356">
        <f t="shared" si="26"/>
        <v>46.1994</v>
      </c>
      <c r="F41" s="356">
        <f t="shared" si="27"/>
        <v>45.839999999999996</v>
      </c>
      <c r="G41" s="357">
        <v>18</v>
      </c>
      <c r="H41" s="357">
        <v>8</v>
      </c>
      <c r="I41" s="357">
        <v>17</v>
      </c>
      <c r="J41" s="357">
        <v>7</v>
      </c>
      <c r="K41" s="356">
        <f t="shared" si="21"/>
        <v>36.66</v>
      </c>
      <c r="L41" s="356">
        <f t="shared" si="22"/>
        <v>9.18</v>
      </c>
      <c r="M41" s="356">
        <v>4.68</v>
      </c>
      <c r="N41" s="356">
        <v>1.23</v>
      </c>
      <c r="O41" s="356">
        <v>0</v>
      </c>
      <c r="P41" s="356">
        <v>0.27</v>
      </c>
      <c r="Q41" s="356">
        <v>0</v>
      </c>
      <c r="R41" s="356">
        <v>0</v>
      </c>
      <c r="S41" s="356">
        <v>0.03</v>
      </c>
      <c r="T41" s="356">
        <v>0</v>
      </c>
      <c r="U41" s="356">
        <v>1.13</v>
      </c>
      <c r="V41" s="356">
        <v>0.3</v>
      </c>
      <c r="W41" s="356"/>
      <c r="X41" s="357">
        <v>18</v>
      </c>
      <c r="Y41" s="357">
        <v>7</v>
      </c>
      <c r="Z41" s="356">
        <v>15.14</v>
      </c>
      <c r="AA41" s="357">
        <v>18</v>
      </c>
      <c r="AB41" s="357">
        <v>8</v>
      </c>
      <c r="AC41" s="357">
        <v>17</v>
      </c>
      <c r="AD41" s="357">
        <v>7</v>
      </c>
      <c r="AE41" s="356">
        <f t="shared" si="23"/>
        <v>4.747</v>
      </c>
      <c r="AF41" s="356">
        <f t="shared" si="23"/>
        <v>1.3029</v>
      </c>
      <c r="AG41" s="356">
        <v>4.7</v>
      </c>
      <c r="AH41" s="356">
        <v>1.29</v>
      </c>
      <c r="AI41" s="356">
        <f t="shared" si="28"/>
        <v>0</v>
      </c>
      <c r="AJ41" s="356">
        <f t="shared" si="29"/>
        <v>0</v>
      </c>
      <c r="AK41" s="356">
        <v>0</v>
      </c>
      <c r="AL41" s="356">
        <v>0</v>
      </c>
      <c r="AM41" s="356">
        <v>0</v>
      </c>
      <c r="AN41" s="356">
        <v>0</v>
      </c>
      <c r="AO41" s="356">
        <v>0</v>
      </c>
      <c r="AP41" s="356">
        <f t="shared" si="24"/>
        <v>0.047</v>
      </c>
      <c r="AQ41" s="356">
        <f t="shared" si="24"/>
        <v>0.0129</v>
      </c>
      <c r="AR41" s="356">
        <f t="shared" si="25"/>
        <v>0.28200000000000003</v>
      </c>
      <c r="AS41" s="356">
        <f t="shared" si="25"/>
        <v>0.0774</v>
      </c>
      <c r="AU41" s="303"/>
    </row>
    <row r="42" spans="1:47" s="190" customFormat="1" ht="12.75">
      <c r="A42" s="472"/>
      <c r="B42" s="355"/>
      <c r="C42" s="319" t="s">
        <v>258</v>
      </c>
      <c r="D42" s="356">
        <v>22.42479999999995</v>
      </c>
      <c r="E42" s="356">
        <f t="shared" si="26"/>
        <v>25.5234</v>
      </c>
      <c r="F42" s="356">
        <f t="shared" si="27"/>
        <v>25.32</v>
      </c>
      <c r="G42" s="357">
        <v>11</v>
      </c>
      <c r="H42" s="357">
        <v>1</v>
      </c>
      <c r="I42" s="357">
        <v>11</v>
      </c>
      <c r="J42" s="357">
        <v>1</v>
      </c>
      <c r="K42" s="356">
        <f t="shared" si="21"/>
        <v>23.64</v>
      </c>
      <c r="L42" s="356">
        <f t="shared" si="22"/>
        <v>1.6800000000000002</v>
      </c>
      <c r="M42" s="356">
        <v>2.98</v>
      </c>
      <c r="N42" s="356">
        <v>0.23</v>
      </c>
      <c r="O42" s="356">
        <v>0</v>
      </c>
      <c r="P42" s="356">
        <v>0.18</v>
      </c>
      <c r="Q42" s="356">
        <v>0</v>
      </c>
      <c r="R42" s="356">
        <v>0</v>
      </c>
      <c r="S42" s="356">
        <v>0.07</v>
      </c>
      <c r="T42" s="356">
        <v>0</v>
      </c>
      <c r="U42" s="356">
        <v>0.71</v>
      </c>
      <c r="V42" s="356">
        <v>0.05</v>
      </c>
      <c r="W42" s="356"/>
      <c r="X42" s="357">
        <v>11</v>
      </c>
      <c r="Y42" s="357">
        <v>1</v>
      </c>
      <c r="Z42" s="356">
        <v>5.43</v>
      </c>
      <c r="AA42" s="357">
        <v>11</v>
      </c>
      <c r="AB42" s="357">
        <v>1</v>
      </c>
      <c r="AC42" s="357">
        <v>11</v>
      </c>
      <c r="AD42" s="357">
        <v>1</v>
      </c>
      <c r="AE42" s="356">
        <f t="shared" si="23"/>
        <v>3.1916</v>
      </c>
      <c r="AF42" s="356">
        <f t="shared" si="23"/>
        <v>0.2323</v>
      </c>
      <c r="AG42" s="356">
        <v>2.98</v>
      </c>
      <c r="AH42" s="356">
        <v>0.23</v>
      </c>
      <c r="AI42" s="356">
        <f t="shared" si="28"/>
        <v>0.18</v>
      </c>
      <c r="AJ42" s="356">
        <f t="shared" si="29"/>
        <v>0</v>
      </c>
      <c r="AK42" s="356">
        <v>0.18</v>
      </c>
      <c r="AL42" s="356">
        <v>0</v>
      </c>
      <c r="AM42" s="356">
        <v>0</v>
      </c>
      <c r="AN42" s="356">
        <v>0</v>
      </c>
      <c r="AO42" s="356">
        <v>0</v>
      </c>
      <c r="AP42" s="356">
        <f t="shared" si="24"/>
        <v>0.0316</v>
      </c>
      <c r="AQ42" s="356">
        <f t="shared" si="24"/>
        <v>0.0023</v>
      </c>
      <c r="AR42" s="356">
        <f t="shared" si="25"/>
        <v>0.18960000000000002</v>
      </c>
      <c r="AS42" s="356">
        <f t="shared" si="25"/>
        <v>0.0138</v>
      </c>
      <c r="AU42" s="303"/>
    </row>
    <row r="43" spans="1:47" ht="25.5">
      <c r="A43" s="470"/>
      <c r="B43" s="294" t="s">
        <v>460</v>
      </c>
      <c r="C43" s="296" t="s">
        <v>458</v>
      </c>
      <c r="D43" s="314">
        <v>62.02</v>
      </c>
      <c r="E43" s="314">
        <f>K43+L43+AR43+AS43</f>
        <v>61.846199999999996</v>
      </c>
      <c r="F43" s="314">
        <f>K43+L43</f>
        <v>61.379999999999995</v>
      </c>
      <c r="G43" s="329">
        <v>20</v>
      </c>
      <c r="H43" s="329">
        <v>22</v>
      </c>
      <c r="I43" s="329">
        <v>17</v>
      </c>
      <c r="J43" s="329">
        <v>17</v>
      </c>
      <c r="K43" s="314">
        <f>(M43+O43+P43+Q43+S43+U43)*6</f>
        <v>36.36</v>
      </c>
      <c r="L43" s="314">
        <f>(N43+R43+T43+V43)*6</f>
        <v>25.02</v>
      </c>
      <c r="M43" s="314">
        <v>4.63</v>
      </c>
      <c r="N43" s="314">
        <v>3.39</v>
      </c>
      <c r="O43" s="314">
        <v>0</v>
      </c>
      <c r="P43" s="314">
        <v>0.21</v>
      </c>
      <c r="Q43" s="314">
        <v>0.05</v>
      </c>
      <c r="R43" s="314">
        <v>0</v>
      </c>
      <c r="S43" s="314">
        <v>0.05</v>
      </c>
      <c r="T43" s="314">
        <v>0</v>
      </c>
      <c r="U43" s="314">
        <v>1.12</v>
      </c>
      <c r="V43" s="314">
        <v>0.78</v>
      </c>
      <c r="W43" s="314"/>
      <c r="X43" s="329">
        <v>16</v>
      </c>
      <c r="Y43" s="329">
        <v>17</v>
      </c>
      <c r="Z43" s="314">
        <v>24.78</v>
      </c>
      <c r="AA43" s="329">
        <v>20</v>
      </c>
      <c r="AB43" s="329">
        <v>22</v>
      </c>
      <c r="AC43" s="329">
        <v>16</v>
      </c>
      <c r="AD43" s="329">
        <v>17</v>
      </c>
      <c r="AE43" s="314">
        <f>AG43+AI43+AP43</f>
        <v>4.4238</v>
      </c>
      <c r="AF43" s="314">
        <f>AH43+AJ43+AQ43</f>
        <v>3.4239</v>
      </c>
      <c r="AG43" s="314">
        <v>4.18</v>
      </c>
      <c r="AH43" s="314">
        <v>3.39</v>
      </c>
      <c r="AI43" s="314">
        <f>AK43+AL43+AN43</f>
        <v>0.2</v>
      </c>
      <c r="AJ43" s="314">
        <f>AM43+AO43</f>
        <v>0</v>
      </c>
      <c r="AK43" s="314">
        <v>0.15</v>
      </c>
      <c r="AL43" s="314">
        <v>0.05</v>
      </c>
      <c r="AM43" s="314">
        <v>0</v>
      </c>
      <c r="AN43" s="314">
        <v>0</v>
      </c>
      <c r="AO43" s="314">
        <v>0</v>
      </c>
      <c r="AP43" s="314">
        <f>(AG43+AI43)*1%</f>
        <v>0.0438</v>
      </c>
      <c r="AQ43" s="314">
        <f>(AH43+AJ43)*1%</f>
        <v>0.0339</v>
      </c>
      <c r="AR43" s="314">
        <f>AP43*6</f>
        <v>0.2628</v>
      </c>
      <c r="AS43" s="314">
        <f>AQ43*6</f>
        <v>0.2034</v>
      </c>
      <c r="AU43" s="289"/>
    </row>
    <row r="44" spans="1:47" s="256" customFormat="1" ht="21" customHeight="1">
      <c r="A44" s="320"/>
      <c r="B44" s="360" t="s">
        <v>461</v>
      </c>
      <c r="C44" s="320" t="str">
        <f>'2c moi'!B40</f>
        <v>Nhà thiếu nhi</v>
      </c>
      <c r="D44" s="338">
        <v>54.53160000000009</v>
      </c>
      <c r="E44" s="342">
        <f t="shared" si="26"/>
        <v>55.0443</v>
      </c>
      <c r="F44" s="314">
        <f>K44+L44</f>
        <v>54.63</v>
      </c>
      <c r="G44" s="339">
        <v>20</v>
      </c>
      <c r="H44" s="339">
        <v>4</v>
      </c>
      <c r="I44" s="339">
        <v>20</v>
      </c>
      <c r="J44" s="339">
        <v>4</v>
      </c>
      <c r="K44" s="342">
        <f t="shared" si="21"/>
        <v>47.31</v>
      </c>
      <c r="L44" s="317">
        <f t="shared" si="22"/>
        <v>7.32</v>
      </c>
      <c r="M44" s="338">
        <v>5.91</v>
      </c>
      <c r="N44" s="338">
        <v>0.99</v>
      </c>
      <c r="O44" s="338">
        <v>0</v>
      </c>
      <c r="P44" s="338">
        <v>0.396</v>
      </c>
      <c r="Q44" s="338">
        <v>0.052</v>
      </c>
      <c r="R44" s="338">
        <v>0</v>
      </c>
      <c r="S44" s="338">
        <v>0.027</v>
      </c>
      <c r="T44" s="338">
        <v>0</v>
      </c>
      <c r="U44" s="338">
        <v>1.5</v>
      </c>
      <c r="V44" s="338">
        <v>0.23</v>
      </c>
      <c r="W44" s="338"/>
      <c r="X44" s="339">
        <v>20</v>
      </c>
      <c r="Y44" s="339">
        <v>4</v>
      </c>
      <c r="Z44" s="338"/>
      <c r="AA44" s="339">
        <v>20</v>
      </c>
      <c r="AB44" s="339">
        <v>4</v>
      </c>
      <c r="AC44" s="339">
        <v>19</v>
      </c>
      <c r="AD44" s="339">
        <v>4</v>
      </c>
      <c r="AE44" s="314">
        <f>AG44+AI44+AP44</f>
        <v>5.97415</v>
      </c>
      <c r="AF44" s="314">
        <f>AH44+AJ44+AQ44</f>
        <v>0.9999</v>
      </c>
      <c r="AG44" s="338">
        <v>5.55</v>
      </c>
      <c r="AH44" s="338">
        <v>0.99</v>
      </c>
      <c r="AI44" s="314">
        <f t="shared" si="28"/>
        <v>0.365</v>
      </c>
      <c r="AJ44" s="314">
        <f t="shared" si="29"/>
        <v>0</v>
      </c>
      <c r="AK44" s="338">
        <v>0.315</v>
      </c>
      <c r="AL44" s="338">
        <v>0.05</v>
      </c>
      <c r="AM44" s="338">
        <v>0</v>
      </c>
      <c r="AN44" s="338">
        <v>0</v>
      </c>
      <c r="AO44" s="338">
        <v>0</v>
      </c>
      <c r="AP44" s="338">
        <f>(AG44+AI44)*1%</f>
        <v>0.05915</v>
      </c>
      <c r="AQ44" s="338">
        <f>(AH44+AJ44)*1%</f>
        <v>0.0099</v>
      </c>
      <c r="AR44" s="338">
        <f>AP44*6</f>
        <v>0.3549</v>
      </c>
      <c r="AS44" s="338">
        <f>AQ44*6</f>
        <v>0.05940000000000001</v>
      </c>
      <c r="AU44" s="257"/>
    </row>
    <row r="45" spans="1:47" s="256" customFormat="1" ht="28.5" customHeight="1">
      <c r="A45" s="320"/>
      <c r="B45" s="360" t="s">
        <v>462</v>
      </c>
      <c r="C45" s="320" t="s">
        <v>354</v>
      </c>
      <c r="D45" s="338">
        <v>0</v>
      </c>
      <c r="E45" s="342">
        <f t="shared" si="26"/>
        <v>89.46</v>
      </c>
      <c r="F45" s="314">
        <f>K45+L45</f>
        <v>89.46</v>
      </c>
      <c r="G45" s="339">
        <v>34</v>
      </c>
      <c r="H45" s="339">
        <v>17</v>
      </c>
      <c r="I45" s="339">
        <v>24</v>
      </c>
      <c r="J45" s="339">
        <v>17</v>
      </c>
      <c r="K45" s="342">
        <f t="shared" si="21"/>
        <v>58.85999999999999</v>
      </c>
      <c r="L45" s="317">
        <f t="shared" si="22"/>
        <v>30.599999999999998</v>
      </c>
      <c r="M45" s="338">
        <v>6.55</v>
      </c>
      <c r="N45" s="338">
        <v>3.99</v>
      </c>
      <c r="O45" s="338">
        <v>1.48</v>
      </c>
      <c r="P45" s="338">
        <v>0.1</v>
      </c>
      <c r="Q45" s="338">
        <v>0.01</v>
      </c>
      <c r="R45" s="338">
        <v>0.09</v>
      </c>
      <c r="S45" s="338">
        <v>0.07</v>
      </c>
      <c r="T45" s="338">
        <v>0.02</v>
      </c>
      <c r="U45" s="338">
        <v>1.6</v>
      </c>
      <c r="V45" s="338">
        <v>1</v>
      </c>
      <c r="W45" s="338"/>
      <c r="X45" s="339"/>
      <c r="Y45" s="339"/>
      <c r="Z45" s="338"/>
      <c r="AA45" s="339"/>
      <c r="AB45" s="339"/>
      <c r="AC45" s="339"/>
      <c r="AD45" s="339"/>
      <c r="AE45" s="338"/>
      <c r="AF45" s="338"/>
      <c r="AG45" s="338"/>
      <c r="AH45" s="338"/>
      <c r="AI45" s="314">
        <f t="shared" si="28"/>
        <v>0</v>
      </c>
      <c r="AJ45" s="314">
        <f t="shared" si="29"/>
        <v>0</v>
      </c>
      <c r="AK45" s="338"/>
      <c r="AL45" s="338"/>
      <c r="AM45" s="338"/>
      <c r="AN45" s="338"/>
      <c r="AO45" s="338"/>
      <c r="AP45" s="338"/>
      <c r="AQ45" s="338"/>
      <c r="AR45" s="338"/>
      <c r="AS45" s="338"/>
      <c r="AU45" s="257"/>
    </row>
    <row r="46" spans="1:47" ht="13.5" customHeight="1">
      <c r="A46" s="470"/>
      <c r="B46" s="294" t="s">
        <v>30</v>
      </c>
      <c r="C46" s="284" t="s">
        <v>31</v>
      </c>
      <c r="D46" s="314">
        <v>0</v>
      </c>
      <c r="E46" s="342">
        <f t="shared" si="26"/>
        <v>0</v>
      </c>
      <c r="F46" s="314">
        <f>K46+L46</f>
        <v>0</v>
      </c>
      <c r="G46" s="329"/>
      <c r="H46" s="329"/>
      <c r="I46" s="329"/>
      <c r="J46" s="329"/>
      <c r="K46" s="342">
        <f t="shared" si="21"/>
        <v>0</v>
      </c>
      <c r="L46" s="317">
        <f t="shared" si="22"/>
        <v>0</v>
      </c>
      <c r="M46" s="314"/>
      <c r="N46" s="314"/>
      <c r="O46" s="314"/>
      <c r="P46" s="314"/>
      <c r="Q46" s="314"/>
      <c r="R46" s="314"/>
      <c r="S46" s="314"/>
      <c r="T46" s="314"/>
      <c r="U46" s="314"/>
      <c r="V46" s="314"/>
      <c r="W46" s="314"/>
      <c r="X46" s="329"/>
      <c r="Y46" s="329"/>
      <c r="Z46" s="314"/>
      <c r="AA46" s="329"/>
      <c r="AB46" s="329"/>
      <c r="AC46" s="329"/>
      <c r="AD46" s="329"/>
      <c r="AE46" s="314"/>
      <c r="AF46" s="314"/>
      <c r="AG46" s="314"/>
      <c r="AH46" s="314"/>
      <c r="AI46" s="314">
        <f t="shared" si="28"/>
        <v>0</v>
      </c>
      <c r="AJ46" s="314">
        <f t="shared" si="29"/>
        <v>0</v>
      </c>
      <c r="AK46" s="314"/>
      <c r="AL46" s="314"/>
      <c r="AM46" s="314"/>
      <c r="AN46" s="314"/>
      <c r="AO46" s="314"/>
      <c r="AP46" s="314"/>
      <c r="AQ46" s="361"/>
      <c r="AR46" s="333"/>
      <c r="AS46" s="333"/>
      <c r="AU46" s="140"/>
    </row>
    <row r="47" spans="1:47" s="132" customFormat="1" ht="13.5" customHeight="1">
      <c r="A47" s="468"/>
      <c r="B47" s="325" t="s">
        <v>32</v>
      </c>
      <c r="C47" s="307" t="s">
        <v>33</v>
      </c>
      <c r="D47" s="317">
        <v>100.08671999999999</v>
      </c>
      <c r="E47" s="342">
        <f>K47+L47+AR47+AS47</f>
        <v>118.42679999999999</v>
      </c>
      <c r="F47" s="314">
        <f>K47+L47</f>
        <v>117.47999999999999</v>
      </c>
      <c r="G47" s="359">
        <v>45</v>
      </c>
      <c r="H47" s="359">
        <v>18</v>
      </c>
      <c r="I47" s="359">
        <v>45</v>
      </c>
      <c r="J47" s="359">
        <v>18</v>
      </c>
      <c r="K47" s="342">
        <f t="shared" si="21"/>
        <v>91.44</v>
      </c>
      <c r="L47" s="317">
        <f t="shared" si="22"/>
        <v>26.04</v>
      </c>
      <c r="M47" s="358">
        <v>12.02</v>
      </c>
      <c r="N47" s="358">
        <v>3.54</v>
      </c>
      <c r="O47" s="358">
        <v>0</v>
      </c>
      <c r="P47" s="358">
        <v>0.22</v>
      </c>
      <c r="Q47" s="358">
        <v>0</v>
      </c>
      <c r="R47" s="358">
        <v>0</v>
      </c>
      <c r="S47" s="358">
        <v>0.2</v>
      </c>
      <c r="T47" s="358">
        <v>0</v>
      </c>
      <c r="U47" s="358">
        <v>2.8</v>
      </c>
      <c r="V47" s="358">
        <v>0.8</v>
      </c>
      <c r="W47" s="358"/>
      <c r="X47" s="359">
        <v>38</v>
      </c>
      <c r="Y47" s="359">
        <v>13</v>
      </c>
      <c r="Z47" s="358">
        <v>61.71</v>
      </c>
      <c r="AA47" s="359">
        <v>45</v>
      </c>
      <c r="AB47" s="359">
        <v>18</v>
      </c>
      <c r="AC47" s="359">
        <v>45</v>
      </c>
      <c r="AD47" s="359">
        <v>18</v>
      </c>
      <c r="AE47" s="314">
        <f>AG47+AI47+AP47</f>
        <v>12.362400000000001</v>
      </c>
      <c r="AF47" s="314">
        <f>AH47+AJ47+AQ47</f>
        <v>3.5754</v>
      </c>
      <c r="AG47" s="358">
        <v>12.02</v>
      </c>
      <c r="AH47" s="358">
        <v>3.54</v>
      </c>
      <c r="AI47" s="314">
        <f>AK47+AL47+AN47</f>
        <v>0.22</v>
      </c>
      <c r="AJ47" s="314">
        <f>AM47+AO47</f>
        <v>0</v>
      </c>
      <c r="AK47" s="358">
        <v>0.22</v>
      </c>
      <c r="AL47" s="358">
        <v>0</v>
      </c>
      <c r="AM47" s="358">
        <v>0</v>
      </c>
      <c r="AN47" s="358">
        <v>0</v>
      </c>
      <c r="AO47" s="358">
        <v>0</v>
      </c>
      <c r="AP47" s="314">
        <f>(AG47+AI47)*1%</f>
        <v>0.12240000000000001</v>
      </c>
      <c r="AQ47" s="314">
        <f>(AH47+AJ47)*1%</f>
        <v>0.0354</v>
      </c>
      <c r="AR47" s="358">
        <f>AP47*6</f>
        <v>0.7344</v>
      </c>
      <c r="AS47" s="356">
        <f>AQ47*6</f>
        <v>0.2124</v>
      </c>
      <c r="AU47" s="140"/>
    </row>
    <row r="48" spans="1:47" s="132" customFormat="1" ht="12.75">
      <c r="A48" s="468"/>
      <c r="B48" s="325" t="s">
        <v>34</v>
      </c>
      <c r="C48" s="307" t="s">
        <v>35</v>
      </c>
      <c r="D48" s="317">
        <v>2069.0640000000003</v>
      </c>
      <c r="E48" s="342">
        <f>SUM(E49:E55)</f>
        <v>730.1430000000001</v>
      </c>
      <c r="F48" s="317">
        <f aca="true" t="shared" si="30" ref="F48:AS48">SUM(F49:F55)</f>
        <v>726.9000000000002</v>
      </c>
      <c r="G48" s="330">
        <f t="shared" si="30"/>
        <v>173</v>
      </c>
      <c r="H48" s="330">
        <f t="shared" si="30"/>
        <v>155</v>
      </c>
      <c r="I48" s="330">
        <f t="shared" si="30"/>
        <v>173</v>
      </c>
      <c r="J48" s="330">
        <f t="shared" si="30"/>
        <v>155</v>
      </c>
      <c r="K48" s="317">
        <f t="shared" si="30"/>
        <v>440.28</v>
      </c>
      <c r="L48" s="317">
        <f t="shared" si="30"/>
        <v>286.62</v>
      </c>
      <c r="M48" s="317">
        <f t="shared" si="30"/>
        <v>36.69</v>
      </c>
      <c r="N48" s="317">
        <f t="shared" si="30"/>
        <v>26.75</v>
      </c>
      <c r="O48" s="317">
        <f t="shared" si="30"/>
        <v>0</v>
      </c>
      <c r="P48" s="317">
        <f t="shared" si="30"/>
        <v>0.9400000000000002</v>
      </c>
      <c r="Q48" s="317">
        <f t="shared" si="30"/>
        <v>-0.4099999999999999</v>
      </c>
      <c r="R48" s="317">
        <f t="shared" si="30"/>
        <v>0</v>
      </c>
      <c r="S48" s="317">
        <f t="shared" si="30"/>
        <v>29.71</v>
      </c>
      <c r="T48" s="317">
        <f t="shared" si="30"/>
        <v>15.100000000000001</v>
      </c>
      <c r="U48" s="317">
        <f t="shared" si="30"/>
        <v>6.45</v>
      </c>
      <c r="V48" s="317">
        <f t="shared" si="30"/>
        <v>5.92</v>
      </c>
      <c r="W48" s="317">
        <f t="shared" si="30"/>
        <v>0</v>
      </c>
      <c r="X48" s="317">
        <f t="shared" si="30"/>
        <v>165</v>
      </c>
      <c r="Y48" s="317">
        <f t="shared" si="30"/>
        <v>132</v>
      </c>
      <c r="Z48" s="317">
        <f t="shared" si="30"/>
        <v>9.22</v>
      </c>
      <c r="AA48" s="317">
        <f t="shared" si="30"/>
        <v>173</v>
      </c>
      <c r="AB48" s="317">
        <f t="shared" si="30"/>
        <v>155</v>
      </c>
      <c r="AC48" s="317">
        <f t="shared" si="30"/>
        <v>169</v>
      </c>
      <c r="AD48" s="317">
        <f t="shared" si="30"/>
        <v>155</v>
      </c>
      <c r="AE48" s="317">
        <f t="shared" si="30"/>
        <v>22.714899999999997</v>
      </c>
      <c r="AF48" s="317">
        <f t="shared" si="30"/>
        <v>31.875600000000002</v>
      </c>
      <c r="AG48" s="317">
        <f t="shared" si="30"/>
        <v>25.490000000000002</v>
      </c>
      <c r="AH48" s="317">
        <f t="shared" si="30"/>
        <v>31.56</v>
      </c>
      <c r="AI48" s="317">
        <f t="shared" si="30"/>
        <v>-3</v>
      </c>
      <c r="AJ48" s="317">
        <f t="shared" si="30"/>
        <v>0</v>
      </c>
      <c r="AK48" s="317">
        <f t="shared" si="30"/>
        <v>2.67</v>
      </c>
      <c r="AL48" s="317">
        <f t="shared" si="30"/>
        <v>-5.67</v>
      </c>
      <c r="AM48" s="317">
        <f t="shared" si="30"/>
        <v>0</v>
      </c>
      <c r="AN48" s="317">
        <f t="shared" si="30"/>
        <v>0</v>
      </c>
      <c r="AO48" s="317">
        <f t="shared" si="30"/>
        <v>0</v>
      </c>
      <c r="AP48" s="317">
        <f t="shared" si="30"/>
        <v>0.22489999999999996</v>
      </c>
      <c r="AQ48" s="317">
        <f t="shared" si="30"/>
        <v>0.31559999999999994</v>
      </c>
      <c r="AR48" s="317">
        <f t="shared" si="30"/>
        <v>1.3494000000000002</v>
      </c>
      <c r="AS48" s="317">
        <f t="shared" si="30"/>
        <v>1.8936</v>
      </c>
      <c r="AU48" s="140"/>
    </row>
    <row r="49" spans="1:47" ht="12.75">
      <c r="A49" s="470"/>
      <c r="B49" s="294"/>
      <c r="C49" s="284" t="s">
        <v>216</v>
      </c>
      <c r="D49" s="314">
        <v>108</v>
      </c>
      <c r="E49" s="342">
        <f>K49+L49+AR49+AS49</f>
        <v>126.60000000000001</v>
      </c>
      <c r="F49" s="314">
        <f>K49+L49</f>
        <v>126</v>
      </c>
      <c r="G49" s="329">
        <v>37</v>
      </c>
      <c r="H49" s="329">
        <v>7</v>
      </c>
      <c r="I49" s="329">
        <v>37</v>
      </c>
      <c r="J49" s="329">
        <v>7</v>
      </c>
      <c r="K49" s="342">
        <f>(M49+O49+P49+Q49+S49+U49)*6</f>
        <v>114</v>
      </c>
      <c r="L49" s="317">
        <f aca="true" t="shared" si="31" ref="L49:L55">(N49+R49+T49+V49)*6</f>
        <v>12</v>
      </c>
      <c r="M49" s="314">
        <v>9</v>
      </c>
      <c r="N49" s="351">
        <v>1</v>
      </c>
      <c r="O49" s="351">
        <v>0</v>
      </c>
      <c r="P49" s="351">
        <v>0</v>
      </c>
      <c r="Q49" s="351">
        <v>0</v>
      </c>
      <c r="R49" s="351">
        <v>0</v>
      </c>
      <c r="S49" s="351">
        <v>8</v>
      </c>
      <c r="T49" s="351">
        <v>1</v>
      </c>
      <c r="U49" s="351">
        <v>2</v>
      </c>
      <c r="V49" s="351">
        <v>0</v>
      </c>
      <c r="W49" s="314"/>
      <c r="X49" s="329">
        <v>35</v>
      </c>
      <c r="Y49" s="329">
        <v>6</v>
      </c>
      <c r="Z49" s="314">
        <v>0</v>
      </c>
      <c r="AA49" s="329">
        <v>37</v>
      </c>
      <c r="AB49" s="329">
        <v>7</v>
      </c>
      <c r="AC49" s="329">
        <v>35</v>
      </c>
      <c r="AD49" s="329">
        <v>7</v>
      </c>
      <c r="AE49" s="314">
        <f aca="true" t="shared" si="32" ref="AE49:AF55">AG49+AI49+AP49</f>
        <v>9.09</v>
      </c>
      <c r="AF49" s="314">
        <f t="shared" si="32"/>
        <v>1.01</v>
      </c>
      <c r="AG49" s="314">
        <v>9</v>
      </c>
      <c r="AH49" s="314">
        <v>1</v>
      </c>
      <c r="AI49" s="314">
        <f t="shared" si="28"/>
        <v>0</v>
      </c>
      <c r="AJ49" s="314">
        <f aca="true" t="shared" si="33" ref="AJ49:AJ55">AM49+AO49</f>
        <v>0</v>
      </c>
      <c r="AK49" s="314">
        <v>0</v>
      </c>
      <c r="AL49" s="314">
        <v>0</v>
      </c>
      <c r="AM49" s="314">
        <v>0</v>
      </c>
      <c r="AN49" s="314">
        <v>0</v>
      </c>
      <c r="AO49" s="314">
        <v>0</v>
      </c>
      <c r="AP49" s="314">
        <f aca="true" t="shared" si="34" ref="AP49:AQ55">(AG49+AI49)*1%</f>
        <v>0.09</v>
      </c>
      <c r="AQ49" s="314">
        <f t="shared" si="34"/>
        <v>0.01</v>
      </c>
      <c r="AR49" s="358">
        <f aca="true" t="shared" si="35" ref="AR49:AS55">AP49*6</f>
        <v>0.54</v>
      </c>
      <c r="AS49" s="356">
        <f t="shared" si="35"/>
        <v>0.06</v>
      </c>
      <c r="AU49" s="140"/>
    </row>
    <row r="50" spans="1:47" ht="25.5">
      <c r="A50" s="470"/>
      <c r="B50" s="294"/>
      <c r="C50" s="284" t="s">
        <v>217</v>
      </c>
      <c r="D50" s="314">
        <v>130</v>
      </c>
      <c r="E50" s="342">
        <f aca="true" t="shared" si="36" ref="E50:E55">K50+L50+AR50+AS50</f>
        <v>154.85879999999997</v>
      </c>
      <c r="F50" s="314">
        <f aca="true" t="shared" si="37" ref="F50:F55">K50+L50</f>
        <v>154.07999999999998</v>
      </c>
      <c r="G50" s="329">
        <v>53</v>
      </c>
      <c r="H50" s="329">
        <v>10</v>
      </c>
      <c r="I50" s="329">
        <v>53</v>
      </c>
      <c r="J50" s="329">
        <v>10</v>
      </c>
      <c r="K50" s="342">
        <f aca="true" t="shared" si="38" ref="K50:K55">(M50+O50+P50+Q50+S50+U50)*6</f>
        <v>137.04</v>
      </c>
      <c r="L50" s="317">
        <f t="shared" si="31"/>
        <v>17.040000000000003</v>
      </c>
      <c r="M50" s="314">
        <v>11.02</v>
      </c>
      <c r="N50" s="314">
        <v>1.64</v>
      </c>
      <c r="O50" s="314">
        <v>0</v>
      </c>
      <c r="P50" s="314">
        <v>0.32</v>
      </c>
      <c r="Q50" s="314">
        <v>0</v>
      </c>
      <c r="R50" s="314">
        <v>0</v>
      </c>
      <c r="S50" s="314">
        <v>11.2</v>
      </c>
      <c r="T50" s="314">
        <v>1.1</v>
      </c>
      <c r="U50" s="314">
        <v>0.3</v>
      </c>
      <c r="V50" s="314">
        <v>0.1</v>
      </c>
      <c r="W50" s="314"/>
      <c r="X50" s="329">
        <v>52</v>
      </c>
      <c r="Y50" s="329">
        <v>8</v>
      </c>
      <c r="Z50" s="314">
        <v>0</v>
      </c>
      <c r="AA50" s="329">
        <v>53</v>
      </c>
      <c r="AB50" s="329">
        <v>10</v>
      </c>
      <c r="AC50" s="329">
        <v>53</v>
      </c>
      <c r="AD50" s="329">
        <v>10</v>
      </c>
      <c r="AE50" s="314">
        <f t="shared" si="32"/>
        <v>11.4534</v>
      </c>
      <c r="AF50" s="314">
        <f t="shared" si="32"/>
        <v>1.6563999999999999</v>
      </c>
      <c r="AG50" s="314">
        <v>11.02</v>
      </c>
      <c r="AH50" s="314">
        <v>1.64</v>
      </c>
      <c r="AI50" s="314">
        <f t="shared" si="28"/>
        <v>0.32</v>
      </c>
      <c r="AJ50" s="314">
        <f t="shared" si="33"/>
        <v>0</v>
      </c>
      <c r="AK50" s="314">
        <v>0.32</v>
      </c>
      <c r="AL50" s="314">
        <v>0</v>
      </c>
      <c r="AM50" s="314">
        <v>0</v>
      </c>
      <c r="AN50" s="314">
        <v>0</v>
      </c>
      <c r="AO50" s="314">
        <v>0</v>
      </c>
      <c r="AP50" s="314">
        <f t="shared" si="34"/>
        <v>0.1134</v>
      </c>
      <c r="AQ50" s="314">
        <f t="shared" si="34"/>
        <v>0.016399999999999998</v>
      </c>
      <c r="AR50" s="358">
        <f t="shared" si="35"/>
        <v>0.6804</v>
      </c>
      <c r="AS50" s="356">
        <f t="shared" si="35"/>
        <v>0.09839999999999999</v>
      </c>
      <c r="AU50" s="140"/>
    </row>
    <row r="51" spans="1:47" ht="25.5">
      <c r="A51" s="470"/>
      <c r="B51" s="294"/>
      <c r="C51" s="284" t="s">
        <v>218</v>
      </c>
      <c r="D51" s="314">
        <v>58</v>
      </c>
      <c r="E51" s="342">
        <f t="shared" si="36"/>
        <v>77.91120000000001</v>
      </c>
      <c r="F51" s="314">
        <f t="shared" si="37"/>
        <v>77.52000000000001</v>
      </c>
      <c r="G51" s="329">
        <v>22</v>
      </c>
      <c r="H51" s="329">
        <v>9</v>
      </c>
      <c r="I51" s="329">
        <v>22</v>
      </c>
      <c r="J51" s="329">
        <v>9</v>
      </c>
      <c r="K51" s="342">
        <f t="shared" si="38"/>
        <v>60.720000000000006</v>
      </c>
      <c r="L51" s="317">
        <f t="shared" si="31"/>
        <v>16.799999999999997</v>
      </c>
      <c r="M51" s="314">
        <v>5</v>
      </c>
      <c r="N51" s="314">
        <v>1</v>
      </c>
      <c r="O51" s="314">
        <v>0</v>
      </c>
      <c r="P51" s="314">
        <v>0.19</v>
      </c>
      <c r="Q51" s="314">
        <v>0.03</v>
      </c>
      <c r="R51" s="314">
        <v>0</v>
      </c>
      <c r="S51" s="314">
        <v>3.7</v>
      </c>
      <c r="T51" s="314">
        <v>1.4</v>
      </c>
      <c r="U51" s="314">
        <v>1.2</v>
      </c>
      <c r="V51" s="314">
        <v>0.4</v>
      </c>
      <c r="W51" s="314"/>
      <c r="X51" s="329">
        <v>21</v>
      </c>
      <c r="Y51" s="329">
        <v>9</v>
      </c>
      <c r="Z51" s="314">
        <v>0</v>
      </c>
      <c r="AA51" s="329">
        <v>22</v>
      </c>
      <c r="AB51" s="329">
        <v>9</v>
      </c>
      <c r="AC51" s="329">
        <v>21</v>
      </c>
      <c r="AD51" s="329">
        <v>9</v>
      </c>
      <c r="AE51" s="314">
        <f t="shared" si="32"/>
        <v>5.1712</v>
      </c>
      <c r="AF51" s="314">
        <f t="shared" si="32"/>
        <v>1.414</v>
      </c>
      <c r="AG51" s="314">
        <v>4.9</v>
      </c>
      <c r="AH51" s="314">
        <v>1.4</v>
      </c>
      <c r="AI51" s="314">
        <f t="shared" si="28"/>
        <v>0.22</v>
      </c>
      <c r="AJ51" s="314">
        <f t="shared" si="33"/>
        <v>0</v>
      </c>
      <c r="AK51" s="314">
        <v>0.19</v>
      </c>
      <c r="AL51" s="314">
        <v>0.03</v>
      </c>
      <c r="AM51" s="314">
        <v>0</v>
      </c>
      <c r="AN51" s="314">
        <v>0</v>
      </c>
      <c r="AO51" s="314">
        <v>0</v>
      </c>
      <c r="AP51" s="314">
        <f t="shared" si="34"/>
        <v>0.0512</v>
      </c>
      <c r="AQ51" s="314">
        <f t="shared" si="34"/>
        <v>0.013999999999999999</v>
      </c>
      <c r="AR51" s="358">
        <f t="shared" si="35"/>
        <v>0.30720000000000003</v>
      </c>
      <c r="AS51" s="356">
        <f t="shared" si="35"/>
        <v>0.08399999999999999</v>
      </c>
      <c r="AU51" s="140"/>
    </row>
    <row r="52" spans="1:47" ht="12.75">
      <c r="A52" s="470"/>
      <c r="B52" s="294"/>
      <c r="C52" s="284" t="s">
        <v>219</v>
      </c>
      <c r="D52" s="314">
        <v>35</v>
      </c>
      <c r="E52" s="342">
        <f t="shared" si="36"/>
        <v>34.6584</v>
      </c>
      <c r="F52" s="314">
        <f t="shared" si="37"/>
        <v>34.44</v>
      </c>
      <c r="G52" s="329">
        <v>7</v>
      </c>
      <c r="H52" s="329">
        <v>11</v>
      </c>
      <c r="I52" s="329">
        <v>7</v>
      </c>
      <c r="J52" s="329">
        <v>11</v>
      </c>
      <c r="K52" s="342">
        <f t="shared" si="38"/>
        <v>17.580000000000002</v>
      </c>
      <c r="L52" s="317">
        <f t="shared" si="31"/>
        <v>16.86</v>
      </c>
      <c r="M52" s="314">
        <v>1.8</v>
      </c>
      <c r="N52" s="314">
        <v>1.71</v>
      </c>
      <c r="O52" s="314">
        <v>0</v>
      </c>
      <c r="P52" s="314">
        <v>0.13</v>
      </c>
      <c r="Q52" s="314">
        <v>0</v>
      </c>
      <c r="R52" s="314">
        <v>0</v>
      </c>
      <c r="S52" s="314">
        <v>0.6</v>
      </c>
      <c r="T52" s="314">
        <v>0.7</v>
      </c>
      <c r="U52" s="314">
        <v>0.4</v>
      </c>
      <c r="V52" s="314">
        <v>0.4</v>
      </c>
      <c r="W52" s="314"/>
      <c r="X52" s="329">
        <v>6</v>
      </c>
      <c r="Y52" s="329">
        <v>9</v>
      </c>
      <c r="Z52" s="314">
        <v>0</v>
      </c>
      <c r="AA52" s="329">
        <v>7</v>
      </c>
      <c r="AB52" s="329">
        <v>11</v>
      </c>
      <c r="AC52" s="329">
        <v>7</v>
      </c>
      <c r="AD52" s="329">
        <v>11</v>
      </c>
      <c r="AE52" s="314">
        <f t="shared" si="32"/>
        <v>1.9493000000000003</v>
      </c>
      <c r="AF52" s="314">
        <f t="shared" si="32"/>
        <v>1.7270999999999999</v>
      </c>
      <c r="AG52" s="314">
        <v>1.8</v>
      </c>
      <c r="AH52" s="314">
        <v>1.71</v>
      </c>
      <c r="AI52" s="314">
        <f t="shared" si="28"/>
        <v>0.13</v>
      </c>
      <c r="AJ52" s="314">
        <f t="shared" si="33"/>
        <v>0</v>
      </c>
      <c r="AK52" s="314">
        <v>0.13</v>
      </c>
      <c r="AL52" s="314">
        <v>0</v>
      </c>
      <c r="AM52" s="314">
        <v>0</v>
      </c>
      <c r="AN52" s="314">
        <v>0</v>
      </c>
      <c r="AO52" s="314">
        <v>0</v>
      </c>
      <c r="AP52" s="314">
        <f t="shared" si="34"/>
        <v>0.0193</v>
      </c>
      <c r="AQ52" s="314">
        <f t="shared" si="34"/>
        <v>0.0171</v>
      </c>
      <c r="AR52" s="358">
        <f t="shared" si="35"/>
        <v>0.11580000000000001</v>
      </c>
      <c r="AS52" s="356">
        <f t="shared" si="35"/>
        <v>0.1026</v>
      </c>
      <c r="AU52" s="140"/>
    </row>
    <row r="53" spans="1:47" ht="12.75">
      <c r="A53" s="470"/>
      <c r="B53" s="294"/>
      <c r="C53" s="284" t="s">
        <v>220</v>
      </c>
      <c r="D53" s="314">
        <v>1080</v>
      </c>
      <c r="E53" s="342">
        <f t="shared" si="36"/>
        <v>357.12660000000005</v>
      </c>
      <c r="F53" s="314">
        <f t="shared" si="37"/>
        <v>355.08000000000004</v>
      </c>
      <c r="G53" s="329">
        <v>44</v>
      </c>
      <c r="H53" s="329">
        <v>116</v>
      </c>
      <c r="I53" s="329">
        <v>44</v>
      </c>
      <c r="J53" s="329">
        <v>116</v>
      </c>
      <c r="K53" s="342">
        <f t="shared" si="38"/>
        <v>134.10000000000002</v>
      </c>
      <c r="L53" s="317">
        <f t="shared" si="31"/>
        <v>220.98</v>
      </c>
      <c r="M53" s="314">
        <v>12.4</v>
      </c>
      <c r="N53" s="314">
        <v>21</v>
      </c>
      <c r="O53" s="314">
        <v>0</v>
      </c>
      <c r="P53" s="314">
        <v>0.4</v>
      </c>
      <c r="Q53" s="314">
        <v>0.27</v>
      </c>
      <c r="R53" s="314">
        <v>0</v>
      </c>
      <c r="S53" s="314">
        <v>6.2</v>
      </c>
      <c r="T53" s="314">
        <v>10.9</v>
      </c>
      <c r="U53" s="314">
        <v>3.08</v>
      </c>
      <c r="V53" s="314">
        <v>4.93</v>
      </c>
      <c r="W53" s="314"/>
      <c r="X53" s="329">
        <v>44</v>
      </c>
      <c r="Y53" s="329">
        <v>100</v>
      </c>
      <c r="Z53" s="314">
        <v>0</v>
      </c>
      <c r="AA53" s="329">
        <v>44</v>
      </c>
      <c r="AB53" s="329">
        <v>116</v>
      </c>
      <c r="AC53" s="329">
        <v>44</v>
      </c>
      <c r="AD53" s="329">
        <v>116</v>
      </c>
      <c r="AE53" s="314">
        <f t="shared" si="32"/>
        <v>13.2411</v>
      </c>
      <c r="AF53" s="314">
        <f t="shared" si="32"/>
        <v>21.21</v>
      </c>
      <c r="AG53" s="314">
        <v>12.4</v>
      </c>
      <c r="AH53" s="314">
        <v>21</v>
      </c>
      <c r="AI53" s="314">
        <f t="shared" si="28"/>
        <v>0.71</v>
      </c>
      <c r="AJ53" s="314">
        <f t="shared" si="33"/>
        <v>0</v>
      </c>
      <c r="AK53" s="314">
        <v>0.44</v>
      </c>
      <c r="AL53" s="314">
        <v>0.27</v>
      </c>
      <c r="AM53" s="314">
        <v>0</v>
      </c>
      <c r="AN53" s="314">
        <v>0</v>
      </c>
      <c r="AO53" s="314">
        <v>0</v>
      </c>
      <c r="AP53" s="314">
        <f t="shared" si="34"/>
        <v>0.1311</v>
      </c>
      <c r="AQ53" s="314">
        <f t="shared" si="34"/>
        <v>0.21</v>
      </c>
      <c r="AR53" s="358">
        <f t="shared" si="35"/>
        <v>0.7866</v>
      </c>
      <c r="AS53" s="356">
        <f t="shared" si="35"/>
        <v>1.26</v>
      </c>
      <c r="AU53" s="140"/>
    </row>
    <row r="54" spans="1:47" ht="12.75">
      <c r="A54" s="470"/>
      <c r="B54" s="294"/>
      <c r="C54" s="318" t="s">
        <v>442</v>
      </c>
      <c r="D54" s="314">
        <v>68</v>
      </c>
      <c r="E54" s="342">
        <f t="shared" si="36"/>
        <v>10.0104</v>
      </c>
      <c r="F54" s="314">
        <f t="shared" si="37"/>
        <v>9.96</v>
      </c>
      <c r="G54" s="329">
        <v>3</v>
      </c>
      <c r="H54" s="329">
        <v>0</v>
      </c>
      <c r="I54" s="329">
        <v>3</v>
      </c>
      <c r="J54" s="329">
        <v>0</v>
      </c>
      <c r="K54" s="342">
        <f t="shared" si="38"/>
        <v>9.96</v>
      </c>
      <c r="L54" s="317">
        <f t="shared" si="31"/>
        <v>0</v>
      </c>
      <c r="M54" s="314">
        <v>1.24</v>
      </c>
      <c r="N54" s="314">
        <v>0</v>
      </c>
      <c r="O54" s="314">
        <v>0</v>
      </c>
      <c r="P54" s="314">
        <v>0.11</v>
      </c>
      <c r="Q54" s="314">
        <v>0</v>
      </c>
      <c r="R54" s="314">
        <v>0</v>
      </c>
      <c r="S54" s="314">
        <v>0.01</v>
      </c>
      <c r="T54" s="314">
        <v>0</v>
      </c>
      <c r="U54" s="314">
        <v>0.3</v>
      </c>
      <c r="V54" s="314">
        <v>0</v>
      </c>
      <c r="W54" s="314"/>
      <c r="X54" s="329">
        <v>0</v>
      </c>
      <c r="Y54" s="329">
        <v>0</v>
      </c>
      <c r="Z54" s="314">
        <v>0</v>
      </c>
      <c r="AA54" s="329">
        <v>3</v>
      </c>
      <c r="AB54" s="329">
        <v>0</v>
      </c>
      <c r="AC54" s="329">
        <v>2</v>
      </c>
      <c r="AD54" s="329">
        <v>0</v>
      </c>
      <c r="AE54" s="314">
        <f t="shared" si="32"/>
        <v>0.8484</v>
      </c>
      <c r="AF54" s="314">
        <f t="shared" si="32"/>
        <v>0</v>
      </c>
      <c r="AG54" s="314">
        <v>0.79</v>
      </c>
      <c r="AH54" s="314">
        <v>0</v>
      </c>
      <c r="AI54" s="314">
        <f t="shared" si="28"/>
        <v>0.05</v>
      </c>
      <c r="AJ54" s="314">
        <f t="shared" si="33"/>
        <v>0</v>
      </c>
      <c r="AK54" s="314">
        <v>0.05</v>
      </c>
      <c r="AL54" s="314">
        <v>0</v>
      </c>
      <c r="AM54" s="314">
        <v>0</v>
      </c>
      <c r="AN54" s="314">
        <v>0</v>
      </c>
      <c r="AO54" s="314">
        <v>0</v>
      </c>
      <c r="AP54" s="314">
        <f t="shared" si="34"/>
        <v>0.008400000000000001</v>
      </c>
      <c r="AQ54" s="314">
        <f t="shared" si="34"/>
        <v>0</v>
      </c>
      <c r="AR54" s="358">
        <f t="shared" si="35"/>
        <v>0.05040000000000001</v>
      </c>
      <c r="AS54" s="356">
        <f t="shared" si="35"/>
        <v>0</v>
      </c>
      <c r="AU54" s="140"/>
    </row>
    <row r="55" spans="1:47" ht="12.75">
      <c r="A55" s="470"/>
      <c r="B55" s="294"/>
      <c r="C55" s="318" t="s">
        <v>443</v>
      </c>
      <c r="D55" s="314">
        <v>0</v>
      </c>
      <c r="E55" s="342">
        <f t="shared" si="36"/>
        <v>-31.022399999999998</v>
      </c>
      <c r="F55" s="314">
        <f t="shared" si="37"/>
        <v>-30.179999999999996</v>
      </c>
      <c r="G55" s="329">
        <v>7</v>
      </c>
      <c r="H55" s="329">
        <v>2</v>
      </c>
      <c r="I55" s="329">
        <v>7</v>
      </c>
      <c r="J55" s="329">
        <v>2</v>
      </c>
      <c r="K55" s="342">
        <f t="shared" si="38"/>
        <v>-33.12</v>
      </c>
      <c r="L55" s="317">
        <f t="shared" si="31"/>
        <v>2.94</v>
      </c>
      <c r="M55" s="314">
        <v>-3.77</v>
      </c>
      <c r="N55" s="314">
        <v>0.4</v>
      </c>
      <c r="O55" s="314">
        <v>0</v>
      </c>
      <c r="P55" s="314">
        <v>-0.21</v>
      </c>
      <c r="Q55" s="314">
        <v>-0.71</v>
      </c>
      <c r="R55" s="314">
        <v>0</v>
      </c>
      <c r="S55" s="314">
        <v>0</v>
      </c>
      <c r="T55" s="314">
        <v>0</v>
      </c>
      <c r="U55" s="314">
        <v>-0.83</v>
      </c>
      <c r="V55" s="314">
        <v>0.09</v>
      </c>
      <c r="W55" s="314"/>
      <c r="X55" s="329">
        <v>7</v>
      </c>
      <c r="Y55" s="329">
        <v>0</v>
      </c>
      <c r="Z55" s="314">
        <v>9.22</v>
      </c>
      <c r="AA55" s="329">
        <v>7</v>
      </c>
      <c r="AB55" s="329">
        <v>2</v>
      </c>
      <c r="AC55" s="329">
        <v>7</v>
      </c>
      <c r="AD55" s="329">
        <v>2</v>
      </c>
      <c r="AE55" s="314">
        <f t="shared" si="32"/>
        <v>-19.038500000000003</v>
      </c>
      <c r="AF55" s="314">
        <f t="shared" si="32"/>
        <v>4.858099999999999</v>
      </c>
      <c r="AG55" s="314">
        <v>-14.42</v>
      </c>
      <c r="AH55" s="314">
        <v>4.81</v>
      </c>
      <c r="AI55" s="314">
        <f t="shared" si="28"/>
        <v>-4.43</v>
      </c>
      <c r="AJ55" s="314">
        <f t="shared" si="33"/>
        <v>0</v>
      </c>
      <c r="AK55" s="314">
        <v>1.54</v>
      </c>
      <c r="AL55" s="314">
        <v>-5.97</v>
      </c>
      <c r="AM55" s="314"/>
      <c r="AN55" s="314"/>
      <c r="AO55" s="314"/>
      <c r="AP55" s="314">
        <f t="shared" si="34"/>
        <v>-0.18850000000000003</v>
      </c>
      <c r="AQ55" s="314">
        <f t="shared" si="34"/>
        <v>0.0481</v>
      </c>
      <c r="AR55" s="358">
        <f t="shared" si="35"/>
        <v>-1.1310000000000002</v>
      </c>
      <c r="AS55" s="356">
        <f t="shared" si="35"/>
        <v>0.28859999999999997</v>
      </c>
      <c r="AU55" s="140"/>
    </row>
    <row r="56" spans="1:47" s="132" customFormat="1" ht="12.75">
      <c r="A56" s="468"/>
      <c r="B56" s="325" t="s">
        <v>36</v>
      </c>
      <c r="C56" s="307" t="s">
        <v>307</v>
      </c>
      <c r="D56" s="317">
        <v>2140.1673399999995</v>
      </c>
      <c r="E56" s="342">
        <f>E57+E61+E64+E77+E80</f>
        <v>3022.5704279999995</v>
      </c>
      <c r="F56" s="342">
        <f aca="true" t="shared" si="39" ref="F56:AS56">F57+F61+F64+F77+F80</f>
        <v>3249.831684</v>
      </c>
      <c r="G56" s="342">
        <f t="shared" si="39"/>
        <v>876</v>
      </c>
      <c r="H56" s="342">
        <f t="shared" si="39"/>
        <v>30</v>
      </c>
      <c r="I56" s="342">
        <f t="shared" si="39"/>
        <v>877</v>
      </c>
      <c r="J56" s="342">
        <f t="shared" si="39"/>
        <v>24</v>
      </c>
      <c r="K56" s="342">
        <f t="shared" si="39"/>
        <v>3181.267479</v>
      </c>
      <c r="L56" s="342">
        <f t="shared" si="39"/>
        <v>68.56420499999999</v>
      </c>
      <c r="M56" s="342">
        <f t="shared" si="39"/>
        <v>356.6509</v>
      </c>
      <c r="N56" s="342">
        <f t="shared" si="39"/>
        <v>8.956299999999999</v>
      </c>
      <c r="O56" s="342">
        <f t="shared" si="39"/>
        <v>14.412</v>
      </c>
      <c r="P56" s="342">
        <f t="shared" si="39"/>
        <v>12.620000000000001</v>
      </c>
      <c r="Q56" s="342">
        <f t="shared" si="39"/>
        <v>10.860000000000001</v>
      </c>
      <c r="R56" s="342">
        <f t="shared" si="39"/>
        <v>0.354</v>
      </c>
      <c r="S56" s="342">
        <f t="shared" si="39"/>
        <v>61.29824</v>
      </c>
      <c r="T56" s="342">
        <f t="shared" si="39"/>
        <v>0.09</v>
      </c>
      <c r="U56" s="342">
        <f t="shared" si="39"/>
        <v>74.37010649999999</v>
      </c>
      <c r="V56" s="342">
        <f t="shared" si="39"/>
        <v>2.0270675</v>
      </c>
      <c r="W56" s="342">
        <f t="shared" si="39"/>
        <v>0</v>
      </c>
      <c r="X56" s="342">
        <f t="shared" si="39"/>
        <v>514</v>
      </c>
      <c r="Y56" s="342">
        <f t="shared" si="39"/>
        <v>12.092</v>
      </c>
      <c r="Z56" s="342">
        <f t="shared" si="39"/>
        <v>215.30599999999998</v>
      </c>
      <c r="AA56" s="342">
        <f t="shared" si="39"/>
        <v>534</v>
      </c>
      <c r="AB56" s="342">
        <f t="shared" si="39"/>
        <v>14</v>
      </c>
      <c r="AC56" s="342">
        <f t="shared" si="39"/>
        <v>534</v>
      </c>
      <c r="AD56" s="342">
        <f t="shared" si="39"/>
        <v>11</v>
      </c>
      <c r="AE56" s="342">
        <f t="shared" si="39"/>
        <v>220.131823</v>
      </c>
      <c r="AF56" s="342">
        <f t="shared" si="39"/>
        <v>5.161403</v>
      </c>
      <c r="AG56" s="342">
        <f t="shared" si="39"/>
        <v>202.23329999999999</v>
      </c>
      <c r="AH56" s="342">
        <f t="shared" si="39"/>
        <v>4.976299999999999</v>
      </c>
      <c r="AI56" s="342">
        <f t="shared" si="39"/>
        <v>15.719</v>
      </c>
      <c r="AJ56" s="342">
        <f t="shared" si="39"/>
        <v>0.134</v>
      </c>
      <c r="AK56" s="342">
        <f t="shared" si="39"/>
        <v>8.759</v>
      </c>
      <c r="AL56" s="342">
        <f t="shared" si="39"/>
        <v>5.359999999999999</v>
      </c>
      <c r="AM56" s="342">
        <f t="shared" si="39"/>
        <v>0.134</v>
      </c>
      <c r="AN56" s="342">
        <f t="shared" si="39"/>
        <v>1.6</v>
      </c>
      <c r="AO56" s="342">
        <f t="shared" si="39"/>
        <v>0</v>
      </c>
      <c r="AP56" s="342">
        <f t="shared" si="39"/>
        <v>2.179523</v>
      </c>
      <c r="AQ56" s="342">
        <f t="shared" si="39"/>
        <v>0.051102999999999996</v>
      </c>
      <c r="AR56" s="342">
        <f t="shared" si="39"/>
        <v>13.077138</v>
      </c>
      <c r="AS56" s="342">
        <f t="shared" si="39"/>
        <v>0.306618</v>
      </c>
      <c r="AU56" s="140"/>
    </row>
    <row r="57" spans="1:47" s="132" customFormat="1" ht="12.75">
      <c r="A57" s="468"/>
      <c r="B57" s="325"/>
      <c r="C57" s="321" t="s">
        <v>194</v>
      </c>
      <c r="D57" s="317">
        <v>124.45</v>
      </c>
      <c r="E57" s="342">
        <f>SUM(E58:E60)</f>
        <v>153.79716</v>
      </c>
      <c r="F57" s="342">
        <f aca="true" t="shared" si="40" ref="F57:AS57">SUM(F58:F60)</f>
        <v>152.622</v>
      </c>
      <c r="G57" s="370">
        <f t="shared" si="40"/>
        <v>76</v>
      </c>
      <c r="H57" s="370">
        <f t="shared" si="40"/>
        <v>1</v>
      </c>
      <c r="I57" s="370">
        <f t="shared" si="40"/>
        <v>76</v>
      </c>
      <c r="J57" s="370">
        <f t="shared" si="40"/>
        <v>1</v>
      </c>
      <c r="K57" s="342">
        <f t="shared" si="40"/>
        <v>149.55599999999998</v>
      </c>
      <c r="L57" s="342">
        <f t="shared" si="40"/>
        <v>3.066</v>
      </c>
      <c r="M57" s="342">
        <f t="shared" si="40"/>
        <v>19.333</v>
      </c>
      <c r="N57" s="342">
        <f t="shared" si="40"/>
        <v>0.365</v>
      </c>
      <c r="O57" s="342">
        <f t="shared" si="40"/>
        <v>0</v>
      </c>
      <c r="P57" s="342">
        <f t="shared" si="40"/>
        <v>0.702</v>
      </c>
      <c r="Q57" s="342">
        <f t="shared" si="40"/>
        <v>0</v>
      </c>
      <c r="R57" s="342">
        <f t="shared" si="40"/>
        <v>0.044</v>
      </c>
      <c r="S57" s="342">
        <f t="shared" si="40"/>
        <v>0.225</v>
      </c>
      <c r="T57" s="342">
        <f t="shared" si="40"/>
        <v>0.01</v>
      </c>
      <c r="U57" s="342">
        <f t="shared" si="40"/>
        <v>4.666</v>
      </c>
      <c r="V57" s="342">
        <f t="shared" si="40"/>
        <v>0.092</v>
      </c>
      <c r="W57" s="342"/>
      <c r="X57" s="342">
        <f t="shared" si="40"/>
        <v>59</v>
      </c>
      <c r="Y57" s="342">
        <f t="shared" si="40"/>
        <v>0.092</v>
      </c>
      <c r="Z57" s="342">
        <f t="shared" si="40"/>
        <v>12.988</v>
      </c>
      <c r="AA57" s="342">
        <f t="shared" si="40"/>
        <v>76</v>
      </c>
      <c r="AB57" s="342">
        <f t="shared" si="40"/>
        <v>1</v>
      </c>
      <c r="AC57" s="342">
        <f t="shared" si="40"/>
        <v>74</v>
      </c>
      <c r="AD57" s="342">
        <f t="shared" si="40"/>
        <v>1</v>
      </c>
      <c r="AE57" s="342">
        <f t="shared" si="40"/>
        <v>19.36877</v>
      </c>
      <c r="AF57" s="342">
        <f t="shared" si="40"/>
        <v>0.41308999999999996</v>
      </c>
      <c r="AG57" s="342">
        <f t="shared" si="40"/>
        <v>18.605</v>
      </c>
      <c r="AH57" s="342">
        <f t="shared" si="40"/>
        <v>0.365</v>
      </c>
      <c r="AI57" s="342">
        <f t="shared" si="40"/>
        <v>0.5720000000000001</v>
      </c>
      <c r="AJ57" s="342">
        <f t="shared" si="40"/>
        <v>0.044</v>
      </c>
      <c r="AK57" s="342">
        <f t="shared" si="40"/>
        <v>0.5720000000000001</v>
      </c>
      <c r="AL57" s="342">
        <f t="shared" si="40"/>
        <v>0</v>
      </c>
      <c r="AM57" s="342">
        <f t="shared" si="40"/>
        <v>0.044</v>
      </c>
      <c r="AN57" s="342">
        <f t="shared" si="40"/>
        <v>0</v>
      </c>
      <c r="AO57" s="342">
        <f t="shared" si="40"/>
        <v>0</v>
      </c>
      <c r="AP57" s="342">
        <f t="shared" si="40"/>
        <v>0.19177</v>
      </c>
      <c r="AQ57" s="342">
        <f t="shared" si="40"/>
        <v>0.00409</v>
      </c>
      <c r="AR57" s="342">
        <f t="shared" si="40"/>
        <v>1.15062</v>
      </c>
      <c r="AS57" s="342">
        <f t="shared" si="40"/>
        <v>0.02454</v>
      </c>
      <c r="AU57" s="140"/>
    </row>
    <row r="58" spans="1:47" ht="25.5">
      <c r="A58" s="470"/>
      <c r="B58" s="294"/>
      <c r="C58" s="175" t="s">
        <v>182</v>
      </c>
      <c r="D58" s="317">
        <v>96.33</v>
      </c>
      <c r="E58" s="342">
        <f>K58+L58+AR58+AS58</f>
        <v>85.20179999999999</v>
      </c>
      <c r="F58" s="317">
        <f>K58+L58</f>
        <v>84.55799999999999</v>
      </c>
      <c r="G58" s="339">
        <v>45</v>
      </c>
      <c r="H58" s="339">
        <v>0</v>
      </c>
      <c r="I58" s="339">
        <v>45</v>
      </c>
      <c r="J58" s="339">
        <v>0</v>
      </c>
      <c r="K58" s="342">
        <f>(M58+O58+P58+Q58+S58+U58)*6</f>
        <v>84.55799999999999</v>
      </c>
      <c r="L58" s="317">
        <f>(N58+R58+T58+V58)*6</f>
        <v>0</v>
      </c>
      <c r="M58" s="338">
        <v>11.08</v>
      </c>
      <c r="N58" s="338">
        <v>0</v>
      </c>
      <c r="O58" s="338">
        <v>0</v>
      </c>
      <c r="P58" s="338">
        <v>0.297</v>
      </c>
      <c r="Q58" s="338">
        <v>0</v>
      </c>
      <c r="R58" s="338"/>
      <c r="S58" s="338">
        <v>0.036</v>
      </c>
      <c r="T58" s="338"/>
      <c r="U58" s="338">
        <v>2.68</v>
      </c>
      <c r="V58" s="338"/>
      <c r="W58" s="338"/>
      <c r="X58" s="339">
        <v>45</v>
      </c>
      <c r="Y58" s="339">
        <v>0</v>
      </c>
      <c r="Z58" s="317">
        <v>1.288</v>
      </c>
      <c r="AA58" s="339">
        <v>45</v>
      </c>
      <c r="AB58" s="339">
        <v>0</v>
      </c>
      <c r="AC58" s="339">
        <v>44</v>
      </c>
      <c r="AD58" s="339">
        <v>0</v>
      </c>
      <c r="AE58" s="338">
        <f aca="true" t="shared" si="41" ref="AE58:AF60">AG58+AI58+AP58</f>
        <v>10.8373</v>
      </c>
      <c r="AF58" s="338">
        <f t="shared" si="41"/>
        <v>0</v>
      </c>
      <c r="AG58" s="338">
        <v>10.5</v>
      </c>
      <c r="AH58" s="338">
        <v>0</v>
      </c>
      <c r="AI58" s="338">
        <f>AK58+AL58+AN58</f>
        <v>0.23</v>
      </c>
      <c r="AJ58" s="338">
        <f>AM58+AO58</f>
        <v>0</v>
      </c>
      <c r="AK58" s="338">
        <v>0.23</v>
      </c>
      <c r="AL58" s="338">
        <v>0</v>
      </c>
      <c r="AM58" s="338">
        <v>0</v>
      </c>
      <c r="AN58" s="338">
        <v>0</v>
      </c>
      <c r="AO58" s="338">
        <v>0</v>
      </c>
      <c r="AP58" s="338">
        <f aca="true" t="shared" si="42" ref="AP58:AQ60">(AG58+AI58)*1%</f>
        <v>0.1073</v>
      </c>
      <c r="AQ58" s="338">
        <f t="shared" si="42"/>
        <v>0</v>
      </c>
      <c r="AR58" s="338">
        <f aca="true" t="shared" si="43" ref="AR58:AS60">AP58*6</f>
        <v>0.6438</v>
      </c>
      <c r="AS58" s="338">
        <f t="shared" si="43"/>
        <v>0</v>
      </c>
      <c r="AU58" s="140"/>
    </row>
    <row r="59" spans="1:47" ht="18.75" customHeight="1">
      <c r="A59" s="470"/>
      <c r="B59" s="294"/>
      <c r="C59" s="175" t="s">
        <v>247</v>
      </c>
      <c r="D59" s="317">
        <v>43.39</v>
      </c>
      <c r="E59" s="342">
        <f>K59+L59+AR59+AS59</f>
        <v>39.38196000000001</v>
      </c>
      <c r="F59" s="317">
        <f>K59+L59</f>
        <v>39.09</v>
      </c>
      <c r="G59" s="339">
        <v>17</v>
      </c>
      <c r="H59" s="339">
        <v>1</v>
      </c>
      <c r="I59" s="339">
        <v>17</v>
      </c>
      <c r="J59" s="339">
        <v>1</v>
      </c>
      <c r="K59" s="342">
        <f>(M59+O59+P59+Q59+S59+U59)*6</f>
        <v>36.024</v>
      </c>
      <c r="L59" s="317">
        <f>(N59+R59+T59+V59)*6</f>
        <v>3.066</v>
      </c>
      <c r="M59" s="338">
        <v>4.654</v>
      </c>
      <c r="N59" s="338">
        <v>0.365</v>
      </c>
      <c r="O59" s="338">
        <v>0</v>
      </c>
      <c r="P59" s="338">
        <v>0.225</v>
      </c>
      <c r="Q59" s="338">
        <v>0</v>
      </c>
      <c r="R59" s="338">
        <v>0.044</v>
      </c>
      <c r="S59" s="338">
        <v>0.027</v>
      </c>
      <c r="T59" s="338">
        <v>0.01</v>
      </c>
      <c r="U59" s="338">
        <v>1.098</v>
      </c>
      <c r="V59" s="338">
        <v>0.092</v>
      </c>
      <c r="W59" s="338"/>
      <c r="X59" s="339">
        <v>0</v>
      </c>
      <c r="Y59" s="339">
        <v>0.092</v>
      </c>
      <c r="Z59" s="317"/>
      <c r="AA59" s="339">
        <v>17</v>
      </c>
      <c r="AB59" s="339">
        <v>1</v>
      </c>
      <c r="AC59" s="339">
        <v>16</v>
      </c>
      <c r="AD59" s="339">
        <v>1</v>
      </c>
      <c r="AE59" s="338">
        <f t="shared" si="41"/>
        <v>4.50157</v>
      </c>
      <c r="AF59" s="338">
        <f t="shared" si="41"/>
        <v>0.41308999999999996</v>
      </c>
      <c r="AG59" s="338">
        <v>4.295</v>
      </c>
      <c r="AH59" s="338">
        <v>0.365</v>
      </c>
      <c r="AI59" s="338">
        <f>AK59+AL59+AN59</f>
        <v>0.162</v>
      </c>
      <c r="AJ59" s="338">
        <f>AM59+AO59</f>
        <v>0.044</v>
      </c>
      <c r="AK59" s="338">
        <v>0.162</v>
      </c>
      <c r="AL59" s="338"/>
      <c r="AM59" s="338">
        <v>0.044</v>
      </c>
      <c r="AN59" s="338">
        <v>0</v>
      </c>
      <c r="AO59" s="338">
        <v>0</v>
      </c>
      <c r="AP59" s="338">
        <f t="shared" si="42"/>
        <v>0.04457</v>
      </c>
      <c r="AQ59" s="338">
        <f t="shared" si="42"/>
        <v>0.00409</v>
      </c>
      <c r="AR59" s="338">
        <f t="shared" si="43"/>
        <v>0.26742</v>
      </c>
      <c r="AS59" s="338">
        <f t="shared" si="43"/>
        <v>0.02454</v>
      </c>
      <c r="AU59" s="140"/>
    </row>
    <row r="60" spans="1:47" ht="18" customHeight="1">
      <c r="A60" s="470"/>
      <c r="B60" s="294"/>
      <c r="C60" s="175" t="s">
        <v>183</v>
      </c>
      <c r="D60" s="317">
        <v>28.12</v>
      </c>
      <c r="E60" s="342">
        <f>K60+L60+AR60+AS60</f>
        <v>29.213400000000004</v>
      </c>
      <c r="F60" s="317">
        <f>K60+L60</f>
        <v>28.974000000000004</v>
      </c>
      <c r="G60" s="339">
        <v>14</v>
      </c>
      <c r="H60" s="339">
        <v>0</v>
      </c>
      <c r="I60" s="339">
        <v>14</v>
      </c>
      <c r="J60" s="339">
        <v>0</v>
      </c>
      <c r="K60" s="342">
        <f>(M60+O60+P60+Q60+S60+U60)*6</f>
        <v>28.974000000000004</v>
      </c>
      <c r="L60" s="317">
        <f>(N60+R60+T60+V60)*6</f>
        <v>0</v>
      </c>
      <c r="M60" s="338">
        <v>3.599</v>
      </c>
      <c r="N60" s="338">
        <v>0</v>
      </c>
      <c r="O60" s="338">
        <v>0</v>
      </c>
      <c r="P60" s="338">
        <v>0.18</v>
      </c>
      <c r="Q60" s="338">
        <v>0</v>
      </c>
      <c r="R60" s="338">
        <v>0</v>
      </c>
      <c r="S60" s="338">
        <v>0.162</v>
      </c>
      <c r="T60" s="338">
        <v>0</v>
      </c>
      <c r="U60" s="338">
        <v>0.888</v>
      </c>
      <c r="V60" s="338">
        <v>0</v>
      </c>
      <c r="W60" s="340" t="s">
        <v>446</v>
      </c>
      <c r="X60" s="339">
        <v>14</v>
      </c>
      <c r="Y60" s="339"/>
      <c r="Z60" s="317">
        <v>11.7</v>
      </c>
      <c r="AA60" s="339">
        <v>14</v>
      </c>
      <c r="AB60" s="339">
        <v>0</v>
      </c>
      <c r="AC60" s="339">
        <v>14</v>
      </c>
      <c r="AD60" s="339">
        <v>0</v>
      </c>
      <c r="AE60" s="338">
        <f t="shared" si="41"/>
        <v>4.0299000000000005</v>
      </c>
      <c r="AF60" s="338">
        <f t="shared" si="41"/>
        <v>0</v>
      </c>
      <c r="AG60" s="338">
        <v>3.81</v>
      </c>
      <c r="AH60" s="338">
        <v>0</v>
      </c>
      <c r="AI60" s="338">
        <f>AK60+AL60+AN60</f>
        <v>0.18</v>
      </c>
      <c r="AJ60" s="338">
        <f>AM60+AO60</f>
        <v>0</v>
      </c>
      <c r="AK60" s="338">
        <v>0.18</v>
      </c>
      <c r="AL60" s="338"/>
      <c r="AM60" s="338">
        <v>0</v>
      </c>
      <c r="AN60" s="338">
        <v>0</v>
      </c>
      <c r="AO60" s="338"/>
      <c r="AP60" s="338">
        <f t="shared" si="42"/>
        <v>0.039900000000000005</v>
      </c>
      <c r="AQ60" s="338">
        <f t="shared" si="42"/>
        <v>0</v>
      </c>
      <c r="AR60" s="338">
        <f t="shared" si="43"/>
        <v>0.23940000000000003</v>
      </c>
      <c r="AS60" s="338">
        <f t="shared" si="43"/>
        <v>0</v>
      </c>
      <c r="AU60" s="140"/>
    </row>
    <row r="61" spans="1:47" s="132" customFormat="1" ht="12.75">
      <c r="A61" s="468"/>
      <c r="B61" s="325"/>
      <c r="C61" s="321" t="s">
        <v>195</v>
      </c>
      <c r="D61" s="317">
        <v>75.87713999999997</v>
      </c>
      <c r="E61" s="342">
        <f>SUM(E62:E63)</f>
        <v>488.00393999999994</v>
      </c>
      <c r="F61" s="342">
        <f aca="true" t="shared" si="44" ref="F61:AS61">SUM(F62:F63)</f>
        <v>484.518</v>
      </c>
      <c r="G61" s="370">
        <f t="shared" si="44"/>
        <v>30</v>
      </c>
      <c r="H61" s="370">
        <f t="shared" si="44"/>
        <v>3</v>
      </c>
      <c r="I61" s="370">
        <f t="shared" si="44"/>
        <v>30</v>
      </c>
      <c r="J61" s="370">
        <f t="shared" si="44"/>
        <v>3</v>
      </c>
      <c r="K61" s="342">
        <f t="shared" si="44"/>
        <v>459.996</v>
      </c>
      <c r="L61" s="342">
        <f t="shared" si="44"/>
        <v>24.522</v>
      </c>
      <c r="M61" s="342">
        <f t="shared" si="44"/>
        <v>59.599</v>
      </c>
      <c r="N61" s="342">
        <f t="shared" si="44"/>
        <v>3.331</v>
      </c>
      <c r="O61" s="342">
        <f t="shared" si="44"/>
        <v>0</v>
      </c>
      <c r="P61" s="342">
        <f t="shared" si="44"/>
        <v>2.489</v>
      </c>
      <c r="Q61" s="342">
        <f t="shared" si="44"/>
        <v>0.75</v>
      </c>
      <c r="R61" s="342">
        <f t="shared" si="44"/>
        <v>0</v>
      </c>
      <c r="S61" s="342">
        <f t="shared" si="44"/>
        <v>0.327</v>
      </c>
      <c r="T61" s="342">
        <f t="shared" si="44"/>
        <v>0</v>
      </c>
      <c r="U61" s="342">
        <f t="shared" si="44"/>
        <v>13.501</v>
      </c>
      <c r="V61" s="342">
        <f t="shared" si="44"/>
        <v>0.756</v>
      </c>
      <c r="W61" s="342">
        <f t="shared" si="44"/>
        <v>0</v>
      </c>
      <c r="X61" s="342">
        <f t="shared" si="44"/>
        <v>28</v>
      </c>
      <c r="Y61" s="342">
        <f t="shared" si="44"/>
        <v>2</v>
      </c>
      <c r="Z61" s="342">
        <f t="shared" si="44"/>
        <v>14</v>
      </c>
      <c r="AA61" s="342">
        <f t="shared" si="44"/>
        <v>30</v>
      </c>
      <c r="AB61" s="342">
        <f t="shared" si="44"/>
        <v>3</v>
      </c>
      <c r="AC61" s="342">
        <f t="shared" si="44"/>
        <v>29</v>
      </c>
      <c r="AD61" s="342">
        <f t="shared" si="44"/>
        <v>2</v>
      </c>
      <c r="AE61" s="342">
        <f t="shared" si="44"/>
        <v>56.32567999999999</v>
      </c>
      <c r="AF61" s="342">
        <f t="shared" si="44"/>
        <v>2.35431</v>
      </c>
      <c r="AG61" s="342">
        <f t="shared" si="44"/>
        <v>53.568999999999996</v>
      </c>
      <c r="AH61" s="342">
        <f t="shared" si="44"/>
        <v>2.331</v>
      </c>
      <c r="AI61" s="342">
        <f t="shared" si="44"/>
        <v>2.1990000000000003</v>
      </c>
      <c r="AJ61" s="342">
        <f t="shared" si="44"/>
        <v>0</v>
      </c>
      <c r="AK61" s="342">
        <f t="shared" si="44"/>
        <v>1.7890000000000001</v>
      </c>
      <c r="AL61" s="342">
        <f t="shared" si="44"/>
        <v>0.41</v>
      </c>
      <c r="AM61" s="342">
        <f t="shared" si="44"/>
        <v>0</v>
      </c>
      <c r="AN61" s="342">
        <f t="shared" si="44"/>
        <v>0</v>
      </c>
      <c r="AO61" s="342">
        <f t="shared" si="44"/>
        <v>0</v>
      </c>
      <c r="AP61" s="342">
        <f t="shared" si="44"/>
        <v>0.55768</v>
      </c>
      <c r="AQ61" s="342">
        <f t="shared" si="44"/>
        <v>0.023309999999999997</v>
      </c>
      <c r="AR61" s="342">
        <f t="shared" si="44"/>
        <v>3.3460799999999997</v>
      </c>
      <c r="AS61" s="342">
        <f t="shared" si="44"/>
        <v>0.13985999999999998</v>
      </c>
      <c r="AU61" s="140"/>
    </row>
    <row r="62" spans="1:47" ht="12.75">
      <c r="A62" s="470"/>
      <c r="B62" s="294"/>
      <c r="C62" s="175" t="s">
        <v>298</v>
      </c>
      <c r="D62" s="314">
        <v>36.41634000000002</v>
      </c>
      <c r="E62" s="342">
        <f>K62+L62+AR62+AS62</f>
        <v>34.251540000000006</v>
      </c>
      <c r="F62" s="317">
        <f>K62+L62</f>
        <v>33.978</v>
      </c>
      <c r="G62" s="329">
        <v>15</v>
      </c>
      <c r="H62" s="329">
        <v>1</v>
      </c>
      <c r="I62" s="329">
        <v>15</v>
      </c>
      <c r="J62" s="329">
        <v>1</v>
      </c>
      <c r="K62" s="342">
        <f>(M62+O62+P62+Q62+S62+U62)*6</f>
        <v>31.896000000000004</v>
      </c>
      <c r="L62" s="317">
        <f>(N62+R62+T62+V62)*6</f>
        <v>2.0820000000000003</v>
      </c>
      <c r="M62" s="314">
        <v>4.089</v>
      </c>
      <c r="N62" s="314">
        <v>0.281</v>
      </c>
      <c r="O62" s="314">
        <v>0</v>
      </c>
      <c r="P62" s="314">
        <v>0.189</v>
      </c>
      <c r="Q62" s="314">
        <v>0</v>
      </c>
      <c r="R62" s="314">
        <v>0</v>
      </c>
      <c r="S62" s="314">
        <v>0.027</v>
      </c>
      <c r="T62" s="314">
        <v>0</v>
      </c>
      <c r="U62" s="314">
        <v>1.011</v>
      </c>
      <c r="V62" s="314">
        <v>0.066</v>
      </c>
      <c r="W62" s="314"/>
      <c r="X62" s="329">
        <v>14</v>
      </c>
      <c r="Y62" s="329">
        <v>1</v>
      </c>
      <c r="Z62" s="314"/>
      <c r="AA62" s="329">
        <v>15</v>
      </c>
      <c r="AB62" s="329">
        <v>1</v>
      </c>
      <c r="AC62" s="329">
        <v>15</v>
      </c>
      <c r="AD62" s="329">
        <v>1</v>
      </c>
      <c r="AE62" s="338">
        <f>AG62+AI62+AP62</f>
        <v>4.32078</v>
      </c>
      <c r="AF62" s="338">
        <f>AH62+AJ62+AQ62</f>
        <v>0.28381</v>
      </c>
      <c r="AG62" s="314">
        <v>4.089</v>
      </c>
      <c r="AH62" s="314">
        <v>0.281</v>
      </c>
      <c r="AI62" s="338">
        <f>AK62+AL62+AN62</f>
        <v>0.189</v>
      </c>
      <c r="AJ62" s="338">
        <f>AM62+AO62</f>
        <v>0</v>
      </c>
      <c r="AK62" s="314">
        <v>0.189</v>
      </c>
      <c r="AL62" s="314">
        <v>0</v>
      </c>
      <c r="AM62" s="314">
        <v>0</v>
      </c>
      <c r="AN62" s="314">
        <v>0</v>
      </c>
      <c r="AO62" s="314">
        <v>0</v>
      </c>
      <c r="AP62" s="338">
        <f>(AG62+AI62)*1%</f>
        <v>0.042780000000000006</v>
      </c>
      <c r="AQ62" s="338">
        <f>(AH62+AJ62)*1%</f>
        <v>0.0028100000000000004</v>
      </c>
      <c r="AR62" s="338">
        <f>AP62*6</f>
        <v>0.25668</v>
      </c>
      <c r="AS62" s="338">
        <f>AQ62*6</f>
        <v>0.016860000000000003</v>
      </c>
      <c r="AU62" s="140"/>
    </row>
    <row r="63" spans="1:47" s="62" customFormat="1" ht="25.5">
      <c r="A63" s="471" t="s">
        <v>440</v>
      </c>
      <c r="B63" s="392"/>
      <c r="C63" s="119" t="s">
        <v>299</v>
      </c>
      <c r="D63" s="394">
        <v>39.46079999999995</v>
      </c>
      <c r="E63" s="395">
        <f>K63+L63+AR63+AS63</f>
        <v>453.75239999999997</v>
      </c>
      <c r="F63" s="397">
        <f>K63+L63</f>
        <v>450.53999999999996</v>
      </c>
      <c r="G63" s="396">
        <v>15</v>
      </c>
      <c r="H63" s="396">
        <v>2</v>
      </c>
      <c r="I63" s="396">
        <v>15</v>
      </c>
      <c r="J63" s="396">
        <v>2</v>
      </c>
      <c r="K63" s="395">
        <f>(M63+O63+P63+Q63+S63+U63)*6</f>
        <v>428.09999999999997</v>
      </c>
      <c r="L63" s="397">
        <f>(N63+R63+T63+V63)*6</f>
        <v>22.439999999999998</v>
      </c>
      <c r="M63" s="394">
        <v>55.51</v>
      </c>
      <c r="N63" s="394">
        <v>3.05</v>
      </c>
      <c r="O63" s="394">
        <v>0</v>
      </c>
      <c r="P63" s="394">
        <v>2.3</v>
      </c>
      <c r="Q63" s="394">
        <v>0.75</v>
      </c>
      <c r="R63" s="394">
        <v>0</v>
      </c>
      <c r="S63" s="394">
        <v>0.3</v>
      </c>
      <c r="T63" s="394">
        <v>0</v>
      </c>
      <c r="U63" s="394">
        <v>12.49</v>
      </c>
      <c r="V63" s="394">
        <v>0.69</v>
      </c>
      <c r="W63" s="394" t="s">
        <v>590</v>
      </c>
      <c r="X63" s="396">
        <v>14</v>
      </c>
      <c r="Y63" s="396">
        <v>1</v>
      </c>
      <c r="Z63" s="394">
        <v>14</v>
      </c>
      <c r="AA63" s="396">
        <v>15</v>
      </c>
      <c r="AB63" s="396">
        <v>2</v>
      </c>
      <c r="AC63" s="396">
        <v>14</v>
      </c>
      <c r="AD63" s="396">
        <v>1</v>
      </c>
      <c r="AE63" s="457">
        <f>AG63+AI63+AP63</f>
        <v>52.00489999999999</v>
      </c>
      <c r="AF63" s="457">
        <f>AH63+AJ63+AQ63</f>
        <v>2.0705</v>
      </c>
      <c r="AG63" s="394">
        <v>49.48</v>
      </c>
      <c r="AH63" s="394">
        <v>2.05</v>
      </c>
      <c r="AI63" s="457">
        <f>AK63+AL63+AN63</f>
        <v>2.0100000000000002</v>
      </c>
      <c r="AJ63" s="457">
        <f>AM63+AO63</f>
        <v>0</v>
      </c>
      <c r="AK63" s="394">
        <v>1.6</v>
      </c>
      <c r="AL63" s="394">
        <v>0.41</v>
      </c>
      <c r="AM63" s="394">
        <v>0</v>
      </c>
      <c r="AN63" s="394">
        <v>0</v>
      </c>
      <c r="AO63" s="394">
        <v>0</v>
      </c>
      <c r="AP63" s="457">
        <f>(AG63+AI63)*1%</f>
        <v>0.5148999999999999</v>
      </c>
      <c r="AQ63" s="457">
        <f>(AH63+AJ63)*1%</f>
        <v>0.020499999999999997</v>
      </c>
      <c r="AR63" s="457">
        <f>AP63*6</f>
        <v>3.0893999999999995</v>
      </c>
      <c r="AS63" s="457">
        <f>AQ63*6</f>
        <v>0.12299999999999998</v>
      </c>
      <c r="AU63" s="398"/>
    </row>
    <row r="64" spans="1:47" s="132" customFormat="1" ht="12.75">
      <c r="A64" s="468"/>
      <c r="B64" s="325"/>
      <c r="C64" s="321" t="s">
        <v>196</v>
      </c>
      <c r="D64" s="317">
        <v>1939.8401999999996</v>
      </c>
      <c r="E64" s="342">
        <f>E65+E76</f>
        <v>1663.128036</v>
      </c>
      <c r="F64" s="342">
        <f aca="true" t="shared" si="45" ref="F64:AS64">F65+F76+F77</f>
        <v>1897.4256840000003</v>
      </c>
      <c r="G64" s="342">
        <f t="shared" si="45"/>
        <v>579</v>
      </c>
      <c r="H64" s="342">
        <f t="shared" si="45"/>
        <v>18</v>
      </c>
      <c r="I64" s="342">
        <f t="shared" si="45"/>
        <v>571</v>
      </c>
      <c r="J64" s="342">
        <f t="shared" si="45"/>
        <v>14</v>
      </c>
      <c r="K64" s="342">
        <f t="shared" si="45"/>
        <v>1868.2694790000003</v>
      </c>
      <c r="L64" s="342">
        <f t="shared" si="45"/>
        <v>29.156205</v>
      </c>
      <c r="M64" s="342">
        <f t="shared" si="45"/>
        <v>184.6989</v>
      </c>
      <c r="N64" s="342">
        <f t="shared" si="45"/>
        <v>3.7702999999999998</v>
      </c>
      <c r="O64" s="342">
        <f t="shared" si="45"/>
        <v>11.622</v>
      </c>
      <c r="P64" s="342">
        <f t="shared" si="45"/>
        <v>7.141</v>
      </c>
      <c r="Q64" s="342">
        <f t="shared" si="45"/>
        <v>8.24</v>
      </c>
      <c r="R64" s="342">
        <f t="shared" si="45"/>
        <v>0.2</v>
      </c>
      <c r="S64" s="342">
        <f t="shared" si="45"/>
        <v>58.65524</v>
      </c>
      <c r="T64" s="342">
        <f t="shared" si="45"/>
        <v>0.06</v>
      </c>
      <c r="U64" s="342">
        <f t="shared" si="45"/>
        <v>41.021106499999995</v>
      </c>
      <c r="V64" s="342">
        <f t="shared" si="45"/>
        <v>0.8290675</v>
      </c>
      <c r="W64" s="342">
        <f t="shared" si="45"/>
        <v>0</v>
      </c>
      <c r="X64" s="342">
        <f t="shared" si="45"/>
        <v>301</v>
      </c>
      <c r="Y64" s="342">
        <f t="shared" si="45"/>
        <v>10</v>
      </c>
      <c r="Z64" s="342">
        <f t="shared" si="45"/>
        <v>147.815</v>
      </c>
      <c r="AA64" s="342">
        <f t="shared" si="45"/>
        <v>308</v>
      </c>
      <c r="AB64" s="342">
        <f t="shared" si="45"/>
        <v>10</v>
      </c>
      <c r="AC64" s="342">
        <f t="shared" si="45"/>
        <v>300</v>
      </c>
      <c r="AD64" s="342">
        <f t="shared" si="45"/>
        <v>8</v>
      </c>
      <c r="AE64" s="342">
        <f t="shared" si="45"/>
        <v>104.45329100000001</v>
      </c>
      <c r="AF64" s="342">
        <f t="shared" si="45"/>
        <v>2.3940029999999997</v>
      </c>
      <c r="AG64" s="342">
        <f t="shared" si="45"/>
        <v>93.5591</v>
      </c>
      <c r="AH64" s="342">
        <f t="shared" si="45"/>
        <v>2.2802999999999995</v>
      </c>
      <c r="AI64" s="342">
        <f t="shared" si="45"/>
        <v>9.86</v>
      </c>
      <c r="AJ64" s="342">
        <f t="shared" si="45"/>
        <v>0.09000000000000001</v>
      </c>
      <c r="AK64" s="342">
        <f t="shared" si="45"/>
        <v>5.17</v>
      </c>
      <c r="AL64" s="342">
        <f t="shared" si="45"/>
        <v>4.6899999999999995</v>
      </c>
      <c r="AM64" s="342">
        <f t="shared" si="45"/>
        <v>0.09000000000000001</v>
      </c>
      <c r="AN64" s="342">
        <f t="shared" si="45"/>
        <v>0</v>
      </c>
      <c r="AO64" s="342">
        <f t="shared" si="45"/>
        <v>0</v>
      </c>
      <c r="AP64" s="342">
        <f t="shared" si="45"/>
        <v>1.034191</v>
      </c>
      <c r="AQ64" s="342">
        <f t="shared" si="45"/>
        <v>0.023703000000000002</v>
      </c>
      <c r="AR64" s="342">
        <f t="shared" si="45"/>
        <v>6.205146000000001</v>
      </c>
      <c r="AS64" s="342">
        <f t="shared" si="45"/>
        <v>0.142218</v>
      </c>
      <c r="AU64" s="140"/>
    </row>
    <row r="65" spans="1:47" s="335" customFormat="1" ht="25.5">
      <c r="A65" s="469"/>
      <c r="B65" s="354"/>
      <c r="C65" s="369" t="s">
        <v>304</v>
      </c>
      <c r="D65" s="342">
        <v>994.6895999999989</v>
      </c>
      <c r="E65" s="342">
        <f>E66+E71</f>
        <v>941.448036</v>
      </c>
      <c r="F65" s="342">
        <f aca="true" t="shared" si="46" ref="F65:AS65">F66+F71</f>
        <v>935.4396840000002</v>
      </c>
      <c r="G65" s="342">
        <f t="shared" si="46"/>
        <v>291</v>
      </c>
      <c r="H65" s="342">
        <f t="shared" si="46"/>
        <v>10</v>
      </c>
      <c r="I65" s="342">
        <f t="shared" si="46"/>
        <v>285</v>
      </c>
      <c r="J65" s="342">
        <f t="shared" si="46"/>
        <v>8</v>
      </c>
      <c r="K65" s="342">
        <f t="shared" si="46"/>
        <v>918.1034790000001</v>
      </c>
      <c r="L65" s="342">
        <f t="shared" si="46"/>
        <v>17.336205</v>
      </c>
      <c r="M65" s="342">
        <f t="shared" si="46"/>
        <v>99.8789</v>
      </c>
      <c r="N65" s="342">
        <f t="shared" si="46"/>
        <v>2.2802999999999995</v>
      </c>
      <c r="O65" s="342">
        <f t="shared" si="46"/>
        <v>1.722</v>
      </c>
      <c r="P65" s="342">
        <f t="shared" si="46"/>
        <v>5.251</v>
      </c>
      <c r="Q65" s="342">
        <f t="shared" si="46"/>
        <v>4.9399999999999995</v>
      </c>
      <c r="R65" s="342">
        <f t="shared" si="46"/>
        <v>0.09000000000000001</v>
      </c>
      <c r="S65" s="342">
        <f t="shared" si="46"/>
        <v>22.994239999999998</v>
      </c>
      <c r="T65" s="342">
        <f t="shared" si="46"/>
        <v>0.04</v>
      </c>
      <c r="U65" s="342">
        <f t="shared" si="46"/>
        <v>18.2311065</v>
      </c>
      <c r="V65" s="342">
        <f t="shared" si="46"/>
        <v>0.4790675</v>
      </c>
      <c r="W65" s="342">
        <f t="shared" si="46"/>
        <v>0</v>
      </c>
      <c r="X65" s="342">
        <f t="shared" si="46"/>
        <v>284</v>
      </c>
      <c r="Y65" s="342">
        <f t="shared" si="46"/>
        <v>10</v>
      </c>
      <c r="Z65" s="342">
        <f t="shared" si="46"/>
        <v>147.815</v>
      </c>
      <c r="AA65" s="342">
        <f t="shared" si="46"/>
        <v>291</v>
      </c>
      <c r="AB65" s="342">
        <f t="shared" si="46"/>
        <v>10</v>
      </c>
      <c r="AC65" s="342">
        <f t="shared" si="46"/>
        <v>283</v>
      </c>
      <c r="AD65" s="342">
        <f t="shared" si="46"/>
        <v>8</v>
      </c>
      <c r="AE65" s="342">
        <f t="shared" si="46"/>
        <v>98.746589</v>
      </c>
      <c r="AF65" s="342">
        <f t="shared" si="46"/>
        <v>2.3940029999999997</v>
      </c>
      <c r="AG65" s="342">
        <f t="shared" si="46"/>
        <v>88.1789</v>
      </c>
      <c r="AH65" s="342">
        <f t="shared" si="46"/>
        <v>2.2802999999999995</v>
      </c>
      <c r="AI65" s="342">
        <f t="shared" si="46"/>
        <v>9.59</v>
      </c>
      <c r="AJ65" s="342">
        <f t="shared" si="46"/>
        <v>0.09000000000000001</v>
      </c>
      <c r="AK65" s="342">
        <f t="shared" si="46"/>
        <v>4.9</v>
      </c>
      <c r="AL65" s="342">
        <f t="shared" si="46"/>
        <v>4.6899999999999995</v>
      </c>
      <c r="AM65" s="342">
        <f t="shared" si="46"/>
        <v>0.09000000000000001</v>
      </c>
      <c r="AN65" s="342">
        <f t="shared" si="46"/>
        <v>0</v>
      </c>
      <c r="AO65" s="342">
        <f t="shared" si="46"/>
        <v>0</v>
      </c>
      <c r="AP65" s="342">
        <f t="shared" si="46"/>
        <v>0.977689</v>
      </c>
      <c r="AQ65" s="342">
        <f t="shared" si="46"/>
        <v>0.023703000000000002</v>
      </c>
      <c r="AR65" s="342">
        <f t="shared" si="46"/>
        <v>5.866134000000001</v>
      </c>
      <c r="AS65" s="342">
        <f t="shared" si="46"/>
        <v>0.142218</v>
      </c>
      <c r="AU65" s="337"/>
    </row>
    <row r="66" spans="1:47" s="132" customFormat="1" ht="12.75">
      <c r="A66" s="468"/>
      <c r="B66" s="325"/>
      <c r="C66" s="175" t="s">
        <v>265</v>
      </c>
      <c r="D66" s="314">
        <v>340.88759999999945</v>
      </c>
      <c r="E66" s="342">
        <f>SUM(E67:E70)</f>
        <v>448.43502</v>
      </c>
      <c r="F66" s="342">
        <f>SUM(F67:F70)</f>
        <v>445.83600000000007</v>
      </c>
      <c r="G66" s="370">
        <f aca="true" t="shared" si="47" ref="G66:AS66">SUM(G67:G70)</f>
        <v>111</v>
      </c>
      <c r="H66" s="370">
        <f t="shared" si="47"/>
        <v>6</v>
      </c>
      <c r="I66" s="370">
        <f t="shared" si="47"/>
        <v>105</v>
      </c>
      <c r="J66" s="370">
        <f t="shared" si="47"/>
        <v>5</v>
      </c>
      <c r="K66" s="342">
        <f t="shared" si="47"/>
        <v>436.3260000000001</v>
      </c>
      <c r="L66" s="342">
        <f t="shared" si="47"/>
        <v>9.51</v>
      </c>
      <c r="M66" s="342">
        <f t="shared" si="47"/>
        <v>46.74700000000001</v>
      </c>
      <c r="N66" s="342">
        <f t="shared" si="47"/>
        <v>1.3199999999999998</v>
      </c>
      <c r="O66" s="342">
        <f t="shared" si="47"/>
        <v>0.20199999999999999</v>
      </c>
      <c r="P66" s="342">
        <f t="shared" si="47"/>
        <v>4.15</v>
      </c>
      <c r="Q66" s="342">
        <f t="shared" si="47"/>
        <v>2.36</v>
      </c>
      <c r="R66" s="342">
        <f t="shared" si="47"/>
        <v>0.02</v>
      </c>
      <c r="S66" s="342">
        <f t="shared" si="47"/>
        <v>12.52</v>
      </c>
      <c r="T66" s="342">
        <f t="shared" si="47"/>
        <v>0</v>
      </c>
      <c r="U66" s="342">
        <f t="shared" si="47"/>
        <v>6.742</v>
      </c>
      <c r="V66" s="342">
        <f t="shared" si="47"/>
        <v>0.245</v>
      </c>
      <c r="W66" s="342">
        <f t="shared" si="47"/>
        <v>0</v>
      </c>
      <c r="X66" s="342">
        <f t="shared" si="47"/>
        <v>106</v>
      </c>
      <c r="Y66" s="342">
        <f t="shared" si="47"/>
        <v>6</v>
      </c>
      <c r="Z66" s="342">
        <f t="shared" si="47"/>
        <v>72.665</v>
      </c>
      <c r="AA66" s="342">
        <f t="shared" si="47"/>
        <v>111</v>
      </c>
      <c r="AB66" s="342">
        <f t="shared" si="47"/>
        <v>6</v>
      </c>
      <c r="AC66" s="342">
        <f t="shared" si="47"/>
        <v>105</v>
      </c>
      <c r="AD66" s="342">
        <f t="shared" si="47"/>
        <v>5</v>
      </c>
      <c r="AE66" s="342">
        <f t="shared" si="47"/>
        <v>42.396770000000004</v>
      </c>
      <c r="AF66" s="342">
        <f t="shared" si="47"/>
        <v>1.3534</v>
      </c>
      <c r="AG66" s="342">
        <f t="shared" si="47"/>
        <v>35.947</v>
      </c>
      <c r="AH66" s="342">
        <f t="shared" si="47"/>
        <v>1.3199999999999998</v>
      </c>
      <c r="AI66" s="342">
        <f t="shared" si="47"/>
        <v>6.03</v>
      </c>
      <c r="AJ66" s="342">
        <f t="shared" si="47"/>
        <v>0.02</v>
      </c>
      <c r="AK66" s="342">
        <f t="shared" si="47"/>
        <v>3.86</v>
      </c>
      <c r="AL66" s="342">
        <f t="shared" si="47"/>
        <v>2.1699999999999995</v>
      </c>
      <c r="AM66" s="342">
        <f t="shared" si="47"/>
        <v>0.02</v>
      </c>
      <c r="AN66" s="342">
        <f t="shared" si="47"/>
        <v>0</v>
      </c>
      <c r="AO66" s="342">
        <f t="shared" si="47"/>
        <v>0</v>
      </c>
      <c r="AP66" s="342">
        <f t="shared" si="47"/>
        <v>0.41977000000000003</v>
      </c>
      <c r="AQ66" s="342">
        <f t="shared" si="47"/>
        <v>0.0134</v>
      </c>
      <c r="AR66" s="342">
        <f t="shared" si="47"/>
        <v>2.51862</v>
      </c>
      <c r="AS66" s="342">
        <f t="shared" si="47"/>
        <v>0.0804</v>
      </c>
      <c r="AU66" s="140"/>
    </row>
    <row r="67" spans="1:47" s="190" customFormat="1" ht="12.75">
      <c r="A67" s="472"/>
      <c r="B67" s="355"/>
      <c r="C67" s="380" t="s">
        <v>268</v>
      </c>
      <c r="D67" s="356">
        <v>132.93959999999993</v>
      </c>
      <c r="E67" s="356">
        <f>K67+L67+AR67+AS67</f>
        <v>168.0072</v>
      </c>
      <c r="F67" s="356">
        <f>K67+L67</f>
        <v>168</v>
      </c>
      <c r="G67" s="381">
        <v>34</v>
      </c>
      <c r="H67" s="381"/>
      <c r="I67" s="381">
        <v>34</v>
      </c>
      <c r="J67" s="381"/>
      <c r="K67" s="356">
        <f>(M67+O67+P67+Q67+S67+U67)*6</f>
        <v>168</v>
      </c>
      <c r="L67" s="356">
        <f>(N67+R67+T67+V67)*6</f>
        <v>0</v>
      </c>
      <c r="M67" s="382">
        <v>10.9</v>
      </c>
      <c r="N67" s="382"/>
      <c r="O67" s="382">
        <v>0.1</v>
      </c>
      <c r="P67" s="382">
        <v>0.3</v>
      </c>
      <c r="Q67" s="382">
        <v>0.2</v>
      </c>
      <c r="R67" s="382"/>
      <c r="S67" s="382">
        <v>12.5</v>
      </c>
      <c r="T67" s="382"/>
      <c r="U67" s="382">
        <v>4</v>
      </c>
      <c r="V67" s="382"/>
      <c r="W67" s="356"/>
      <c r="X67" s="381">
        <v>34</v>
      </c>
      <c r="Y67" s="381"/>
      <c r="Z67" s="382"/>
      <c r="AA67" s="381">
        <v>34</v>
      </c>
      <c r="AB67" s="382"/>
      <c r="AC67" s="381">
        <v>34</v>
      </c>
      <c r="AD67" s="382"/>
      <c r="AE67" s="356">
        <f aca="true" t="shared" si="48" ref="AE67:AF70">AG67+AI67+AP67</f>
        <v>0.12120000000000002</v>
      </c>
      <c r="AF67" s="356">
        <f t="shared" si="48"/>
        <v>0</v>
      </c>
      <c r="AG67" s="382">
        <v>0.1</v>
      </c>
      <c r="AH67" s="382"/>
      <c r="AI67" s="356">
        <f>AK67+AL67+AN67</f>
        <v>0.02</v>
      </c>
      <c r="AJ67" s="356">
        <f>AM67+AO67</f>
        <v>0</v>
      </c>
      <c r="AK67" s="382">
        <v>0.01</v>
      </c>
      <c r="AL67" s="382">
        <v>0.01</v>
      </c>
      <c r="AM67" s="382"/>
      <c r="AN67" s="382"/>
      <c r="AO67" s="382"/>
      <c r="AP67" s="356">
        <f aca="true" t="shared" si="49" ref="AP67:AQ70">(AG67+AI67)*1%</f>
        <v>0.0012000000000000001</v>
      </c>
      <c r="AQ67" s="356">
        <f t="shared" si="49"/>
        <v>0</v>
      </c>
      <c r="AR67" s="356">
        <f aca="true" t="shared" si="50" ref="AR67:AS70">AP67*6</f>
        <v>0.007200000000000001</v>
      </c>
      <c r="AS67" s="356">
        <f t="shared" si="50"/>
        <v>0</v>
      </c>
      <c r="AU67" s="303"/>
    </row>
    <row r="68" spans="1:47" s="190" customFormat="1" ht="12.75">
      <c r="A68" s="472"/>
      <c r="B68" s="355"/>
      <c r="C68" s="380" t="s">
        <v>269</v>
      </c>
      <c r="D68" s="356">
        <v>25.55699999999999</v>
      </c>
      <c r="E68" s="356">
        <f>K68+L68+AR68+AS68</f>
        <v>21.635219999999997</v>
      </c>
      <c r="F68" s="356">
        <f>K68+L68</f>
        <v>21.455999999999996</v>
      </c>
      <c r="G68" s="381">
        <v>7</v>
      </c>
      <c r="H68" s="381">
        <v>3</v>
      </c>
      <c r="I68" s="381">
        <v>7</v>
      </c>
      <c r="J68" s="381">
        <v>3</v>
      </c>
      <c r="K68" s="356">
        <f>(M68+O68+P68+Q68+S68+U68)*6</f>
        <v>16.445999999999998</v>
      </c>
      <c r="L68" s="356">
        <f>(N68+R68+T68+V68)*6</f>
        <v>5.01</v>
      </c>
      <c r="M68" s="382">
        <v>2.167</v>
      </c>
      <c r="N68" s="382">
        <v>0.73</v>
      </c>
      <c r="O68" s="382">
        <v>0.072</v>
      </c>
      <c r="P68" s="382">
        <v>0.09</v>
      </c>
      <c r="Q68" s="382"/>
      <c r="R68" s="382"/>
      <c r="S68" s="382"/>
      <c r="T68" s="382"/>
      <c r="U68" s="382">
        <v>0.412</v>
      </c>
      <c r="V68" s="382">
        <v>0.105</v>
      </c>
      <c r="W68" s="356"/>
      <c r="X68" s="381">
        <v>7</v>
      </c>
      <c r="Y68" s="381">
        <v>3</v>
      </c>
      <c r="Z68" s="383">
        <v>0.465</v>
      </c>
      <c r="AA68" s="381">
        <v>7</v>
      </c>
      <c r="AB68" s="381">
        <v>3</v>
      </c>
      <c r="AC68" s="381">
        <v>7</v>
      </c>
      <c r="AD68" s="381">
        <v>3</v>
      </c>
      <c r="AE68" s="356">
        <f t="shared" si="48"/>
        <v>2.2795699999999997</v>
      </c>
      <c r="AF68" s="356">
        <f t="shared" si="48"/>
        <v>0.7373</v>
      </c>
      <c r="AG68" s="382">
        <v>2.167</v>
      </c>
      <c r="AH68" s="382">
        <v>0.73</v>
      </c>
      <c r="AI68" s="356">
        <f>AK68+AL68+AN68</f>
        <v>0.09</v>
      </c>
      <c r="AJ68" s="356">
        <f>AM68+AO68</f>
        <v>0</v>
      </c>
      <c r="AK68" s="382">
        <v>0.09</v>
      </c>
      <c r="AL68" s="382"/>
      <c r="AM68" s="382"/>
      <c r="AN68" s="382"/>
      <c r="AO68" s="382"/>
      <c r="AP68" s="356">
        <f t="shared" si="49"/>
        <v>0.022569999999999996</v>
      </c>
      <c r="AQ68" s="356">
        <f t="shared" si="49"/>
        <v>0.0073</v>
      </c>
      <c r="AR68" s="356">
        <f t="shared" si="50"/>
        <v>0.13541999999999998</v>
      </c>
      <c r="AS68" s="356">
        <f t="shared" si="50"/>
        <v>0.0438</v>
      </c>
      <c r="AU68" s="303"/>
    </row>
    <row r="69" spans="1:47" s="190" customFormat="1" ht="12.75">
      <c r="A69" s="472"/>
      <c r="B69" s="355"/>
      <c r="C69" s="380" t="s">
        <v>270</v>
      </c>
      <c r="D69" s="356">
        <v>145.22039999999961</v>
      </c>
      <c r="E69" s="356">
        <f>K69+L69+AR69+AS69</f>
        <v>222.07620000000003</v>
      </c>
      <c r="F69" s="356">
        <f>K69+L69</f>
        <v>219.96000000000004</v>
      </c>
      <c r="G69" s="381">
        <v>55</v>
      </c>
      <c r="H69" s="381">
        <v>1</v>
      </c>
      <c r="I69" s="381">
        <v>49</v>
      </c>
      <c r="J69" s="381"/>
      <c r="K69" s="356">
        <f>(M69+O69+P69+Q69+S69+U69)*6</f>
        <v>219.96000000000004</v>
      </c>
      <c r="L69" s="356">
        <f>(N69+R69+T69+V69)*6</f>
        <v>0</v>
      </c>
      <c r="M69" s="382">
        <v>29.55</v>
      </c>
      <c r="N69" s="382"/>
      <c r="O69" s="382">
        <v>0.03</v>
      </c>
      <c r="P69" s="382">
        <v>3.59</v>
      </c>
      <c r="Q69" s="382">
        <v>2.13</v>
      </c>
      <c r="R69" s="382"/>
      <c r="S69" s="382"/>
      <c r="T69" s="382"/>
      <c r="U69" s="382">
        <v>1.36</v>
      </c>
      <c r="V69" s="382"/>
      <c r="W69" s="356"/>
      <c r="X69" s="381">
        <v>50</v>
      </c>
      <c r="Y69" s="381">
        <v>1</v>
      </c>
      <c r="Z69" s="382">
        <v>59.1</v>
      </c>
      <c r="AA69" s="381">
        <v>55</v>
      </c>
      <c r="AB69" s="381">
        <v>1</v>
      </c>
      <c r="AC69" s="381">
        <v>49</v>
      </c>
      <c r="AD69" s="382"/>
      <c r="AE69" s="356">
        <f t="shared" si="48"/>
        <v>35.6227</v>
      </c>
      <c r="AF69" s="356">
        <f t="shared" si="48"/>
        <v>0</v>
      </c>
      <c r="AG69" s="382">
        <v>29.55</v>
      </c>
      <c r="AH69" s="382"/>
      <c r="AI69" s="356">
        <f>AK69+AL69+AN69</f>
        <v>5.72</v>
      </c>
      <c r="AJ69" s="356">
        <f>AM69+AO69</f>
        <v>0</v>
      </c>
      <c r="AK69" s="382">
        <v>3.59</v>
      </c>
      <c r="AL69" s="382">
        <v>2.13</v>
      </c>
      <c r="AM69" s="382"/>
      <c r="AN69" s="382"/>
      <c r="AO69" s="382"/>
      <c r="AP69" s="356">
        <f t="shared" si="49"/>
        <v>0.3527</v>
      </c>
      <c r="AQ69" s="356">
        <f t="shared" si="49"/>
        <v>0</v>
      </c>
      <c r="AR69" s="356">
        <f t="shared" si="50"/>
        <v>2.1162</v>
      </c>
      <c r="AS69" s="356">
        <f t="shared" si="50"/>
        <v>0</v>
      </c>
      <c r="AU69" s="303"/>
    </row>
    <row r="70" spans="1:47" s="190" customFormat="1" ht="12.75">
      <c r="A70" s="472"/>
      <c r="B70" s="355"/>
      <c r="C70" s="380" t="s">
        <v>267</v>
      </c>
      <c r="D70" s="356">
        <v>37.17059999999995</v>
      </c>
      <c r="E70" s="356">
        <f>K70+L70+AR70+AS70</f>
        <v>36.71639999999999</v>
      </c>
      <c r="F70" s="356">
        <f>K70+L70</f>
        <v>36.419999999999995</v>
      </c>
      <c r="G70" s="381">
        <v>15</v>
      </c>
      <c r="H70" s="381">
        <v>2</v>
      </c>
      <c r="I70" s="381">
        <v>15</v>
      </c>
      <c r="J70" s="381">
        <v>2</v>
      </c>
      <c r="K70" s="356">
        <f>(M70+O70+P70+Q70+S70+U70)*6</f>
        <v>31.919999999999995</v>
      </c>
      <c r="L70" s="356">
        <f>(N70+R70+T70+V70)*6</f>
        <v>4.5</v>
      </c>
      <c r="M70" s="382">
        <v>4.13</v>
      </c>
      <c r="N70" s="382">
        <v>0.59</v>
      </c>
      <c r="O70" s="382"/>
      <c r="P70" s="382">
        <v>0.17</v>
      </c>
      <c r="Q70" s="382">
        <v>0.03</v>
      </c>
      <c r="R70" s="382">
        <v>0.02</v>
      </c>
      <c r="S70" s="382">
        <v>0.02</v>
      </c>
      <c r="T70" s="382"/>
      <c r="U70" s="382">
        <v>0.97</v>
      </c>
      <c r="V70" s="382">
        <v>0.14</v>
      </c>
      <c r="W70" s="356"/>
      <c r="X70" s="381">
        <v>15</v>
      </c>
      <c r="Y70" s="381">
        <v>2</v>
      </c>
      <c r="Z70" s="382">
        <v>13.1</v>
      </c>
      <c r="AA70" s="381">
        <v>15</v>
      </c>
      <c r="AB70" s="381">
        <v>2</v>
      </c>
      <c r="AC70" s="381">
        <v>15</v>
      </c>
      <c r="AD70" s="381">
        <v>2</v>
      </c>
      <c r="AE70" s="356">
        <f t="shared" si="48"/>
        <v>4.3733</v>
      </c>
      <c r="AF70" s="356">
        <f t="shared" si="48"/>
        <v>0.6161</v>
      </c>
      <c r="AG70" s="382">
        <v>4.13</v>
      </c>
      <c r="AH70" s="382">
        <v>0.59</v>
      </c>
      <c r="AI70" s="356">
        <f>AK70+AL70+AN70</f>
        <v>0.2</v>
      </c>
      <c r="AJ70" s="356">
        <f>AM70+AO70</f>
        <v>0.02</v>
      </c>
      <c r="AK70" s="382">
        <v>0.17</v>
      </c>
      <c r="AL70" s="382">
        <v>0.03</v>
      </c>
      <c r="AM70" s="382">
        <v>0.02</v>
      </c>
      <c r="AN70" s="382"/>
      <c r="AO70" s="382"/>
      <c r="AP70" s="356">
        <f t="shared" si="49"/>
        <v>0.0433</v>
      </c>
      <c r="AQ70" s="356">
        <f t="shared" si="49"/>
        <v>0.0061</v>
      </c>
      <c r="AR70" s="356">
        <f t="shared" si="50"/>
        <v>0.2598</v>
      </c>
      <c r="AS70" s="356">
        <f t="shared" si="50"/>
        <v>0.0366</v>
      </c>
      <c r="AU70" s="303"/>
    </row>
    <row r="71" spans="1:47" ht="12.75">
      <c r="A71" s="470"/>
      <c r="B71" s="294"/>
      <c r="C71" s="175" t="s">
        <v>266</v>
      </c>
      <c r="D71" s="314">
        <f>653.801999999999-132.37</f>
        <v>521.431999999999</v>
      </c>
      <c r="E71" s="342">
        <f>SUM(E72:E75)</f>
        <v>493.013016</v>
      </c>
      <c r="F71" s="342">
        <f aca="true" t="shared" si="51" ref="F71:AS71">SUM(F72:F75)</f>
        <v>489.60368400000004</v>
      </c>
      <c r="G71" s="370">
        <f t="shared" si="51"/>
        <v>180</v>
      </c>
      <c r="H71" s="370">
        <f t="shared" si="51"/>
        <v>4</v>
      </c>
      <c r="I71" s="370">
        <f t="shared" si="51"/>
        <v>180</v>
      </c>
      <c r="J71" s="370">
        <f t="shared" si="51"/>
        <v>3</v>
      </c>
      <c r="K71" s="342">
        <f t="shared" si="51"/>
        <v>481.777479</v>
      </c>
      <c r="L71" s="342">
        <f t="shared" si="51"/>
        <v>7.826205000000001</v>
      </c>
      <c r="M71" s="342">
        <f t="shared" si="51"/>
        <v>53.131899999999995</v>
      </c>
      <c r="N71" s="342">
        <f t="shared" si="51"/>
        <v>0.9602999999999999</v>
      </c>
      <c r="O71" s="342">
        <f t="shared" si="51"/>
        <v>1.52</v>
      </c>
      <c r="P71" s="342">
        <f t="shared" si="51"/>
        <v>1.101</v>
      </c>
      <c r="Q71" s="342">
        <f t="shared" si="51"/>
        <v>2.58</v>
      </c>
      <c r="R71" s="342">
        <f t="shared" si="51"/>
        <v>0.07</v>
      </c>
      <c r="S71" s="342">
        <f t="shared" si="51"/>
        <v>10.47424</v>
      </c>
      <c r="T71" s="342">
        <f t="shared" si="51"/>
        <v>0.04</v>
      </c>
      <c r="U71" s="342">
        <f t="shared" si="51"/>
        <v>11.4891065</v>
      </c>
      <c r="V71" s="342">
        <f t="shared" si="51"/>
        <v>0.23406749999999998</v>
      </c>
      <c r="W71" s="342">
        <f t="shared" si="51"/>
        <v>0</v>
      </c>
      <c r="X71" s="342">
        <f t="shared" si="51"/>
        <v>178</v>
      </c>
      <c r="Y71" s="342">
        <f t="shared" si="51"/>
        <v>4</v>
      </c>
      <c r="Z71" s="342">
        <f t="shared" si="51"/>
        <v>75.15</v>
      </c>
      <c r="AA71" s="342">
        <f t="shared" si="51"/>
        <v>180</v>
      </c>
      <c r="AB71" s="342">
        <f t="shared" si="51"/>
        <v>4</v>
      </c>
      <c r="AC71" s="342">
        <f t="shared" si="51"/>
        <v>178</v>
      </c>
      <c r="AD71" s="342">
        <f t="shared" si="51"/>
        <v>3</v>
      </c>
      <c r="AE71" s="342">
        <f t="shared" si="51"/>
        <v>56.349819</v>
      </c>
      <c r="AF71" s="342">
        <f t="shared" si="51"/>
        <v>1.040603</v>
      </c>
      <c r="AG71" s="342">
        <f t="shared" si="51"/>
        <v>52.231899999999996</v>
      </c>
      <c r="AH71" s="342">
        <f t="shared" si="51"/>
        <v>0.9602999999999999</v>
      </c>
      <c r="AI71" s="342">
        <f t="shared" si="51"/>
        <v>3.56</v>
      </c>
      <c r="AJ71" s="342">
        <f t="shared" si="51"/>
        <v>0.07</v>
      </c>
      <c r="AK71" s="342">
        <f t="shared" si="51"/>
        <v>1.04</v>
      </c>
      <c r="AL71" s="342">
        <f t="shared" si="51"/>
        <v>2.52</v>
      </c>
      <c r="AM71" s="342">
        <f t="shared" si="51"/>
        <v>0.07</v>
      </c>
      <c r="AN71" s="342">
        <f t="shared" si="51"/>
        <v>0</v>
      </c>
      <c r="AO71" s="342">
        <f t="shared" si="51"/>
        <v>0</v>
      </c>
      <c r="AP71" s="342">
        <f t="shared" si="51"/>
        <v>0.5579189999999999</v>
      </c>
      <c r="AQ71" s="342">
        <f t="shared" si="51"/>
        <v>0.010303000000000001</v>
      </c>
      <c r="AR71" s="342">
        <f t="shared" si="51"/>
        <v>3.3475140000000003</v>
      </c>
      <c r="AS71" s="342">
        <f t="shared" si="51"/>
        <v>0.061818</v>
      </c>
      <c r="AU71" s="140"/>
    </row>
    <row r="72" spans="1:47" s="190" customFormat="1" ht="12.75">
      <c r="A72" s="472"/>
      <c r="B72" s="355"/>
      <c r="C72" s="380" t="s">
        <v>271</v>
      </c>
      <c r="D72" s="356">
        <v>146.0711999999997</v>
      </c>
      <c r="E72" s="356">
        <f>K72+L72+AR72+AS72</f>
        <v>148.93200000000002</v>
      </c>
      <c r="F72" s="356">
        <f>K72+L72</f>
        <v>147.9</v>
      </c>
      <c r="G72" s="381">
        <v>54</v>
      </c>
      <c r="H72" s="381">
        <v>1</v>
      </c>
      <c r="I72" s="381">
        <v>54</v>
      </c>
      <c r="J72" s="381">
        <v>1</v>
      </c>
      <c r="K72" s="356">
        <f>(M72+O72+P72+Q72+S72+U72)*6</f>
        <v>144.96</v>
      </c>
      <c r="L72" s="356">
        <f>(N72+R72+T72+V72)*6</f>
        <v>2.94</v>
      </c>
      <c r="M72" s="382">
        <v>15.88</v>
      </c>
      <c r="N72" s="382">
        <v>0.36</v>
      </c>
      <c r="O72" s="382"/>
      <c r="P72" s="382">
        <v>0.44</v>
      </c>
      <c r="Q72" s="382">
        <v>0.93</v>
      </c>
      <c r="R72" s="382">
        <v>0.04</v>
      </c>
      <c r="S72" s="382">
        <v>3.03</v>
      </c>
      <c r="T72" s="382"/>
      <c r="U72" s="382">
        <v>3.88</v>
      </c>
      <c r="V72" s="382">
        <v>0.09</v>
      </c>
      <c r="W72" s="356"/>
      <c r="X72" s="381">
        <v>53</v>
      </c>
      <c r="Y72" s="381">
        <v>1</v>
      </c>
      <c r="Z72" s="382"/>
      <c r="AA72" s="381">
        <v>54</v>
      </c>
      <c r="AB72" s="381">
        <v>1</v>
      </c>
      <c r="AC72" s="381">
        <v>53</v>
      </c>
      <c r="AD72" s="381">
        <v>1</v>
      </c>
      <c r="AE72" s="356">
        <f aca="true" t="shared" si="52" ref="AE72:AF75">AG72+AI72+AP72</f>
        <v>16.968</v>
      </c>
      <c r="AF72" s="356">
        <f t="shared" si="52"/>
        <v>0.40399999999999997</v>
      </c>
      <c r="AG72" s="382">
        <v>15.43</v>
      </c>
      <c r="AH72" s="382">
        <v>0.36</v>
      </c>
      <c r="AI72" s="356">
        <f>AK72+AL72+AN72</f>
        <v>1.37</v>
      </c>
      <c r="AJ72" s="356">
        <f>AM72+AO72</f>
        <v>0.04</v>
      </c>
      <c r="AK72" s="382">
        <v>0.44</v>
      </c>
      <c r="AL72" s="382">
        <v>0.93</v>
      </c>
      <c r="AM72" s="382">
        <v>0.04</v>
      </c>
      <c r="AN72" s="382"/>
      <c r="AO72" s="382"/>
      <c r="AP72" s="356">
        <f aca="true" t="shared" si="53" ref="AP72:AQ75">(AG72+AI72)*1%</f>
        <v>0.168</v>
      </c>
      <c r="AQ72" s="356">
        <f t="shared" si="53"/>
        <v>0.004</v>
      </c>
      <c r="AR72" s="356">
        <f aca="true" t="shared" si="54" ref="AR72:AS75">AP72*6</f>
        <v>1.008</v>
      </c>
      <c r="AS72" s="356">
        <f t="shared" si="54"/>
        <v>0.024</v>
      </c>
      <c r="AU72" s="303"/>
    </row>
    <row r="73" spans="1:47" s="190" customFormat="1" ht="12.75">
      <c r="A73" s="472"/>
      <c r="B73" s="355"/>
      <c r="C73" s="380" t="s">
        <v>272</v>
      </c>
      <c r="D73" s="356">
        <v>97.43280000000003</v>
      </c>
      <c r="E73" s="356">
        <f>K73+L73+AR73+AS73</f>
        <v>71.61479999999999</v>
      </c>
      <c r="F73" s="356">
        <f>K73+L73</f>
        <v>71.1</v>
      </c>
      <c r="G73" s="381">
        <v>29</v>
      </c>
      <c r="H73" s="381">
        <v>1</v>
      </c>
      <c r="I73" s="381">
        <v>29</v>
      </c>
      <c r="J73" s="381">
        <v>0</v>
      </c>
      <c r="K73" s="356">
        <f>(M73+O73+P73+Q73+S73+U73)*6</f>
        <v>71.1</v>
      </c>
      <c r="L73" s="356">
        <f>(N73+R73+T73+V73)*6</f>
        <v>0</v>
      </c>
      <c r="M73" s="382">
        <v>8.74</v>
      </c>
      <c r="N73" s="382"/>
      <c r="O73" s="382">
        <v>0.78</v>
      </c>
      <c r="P73" s="382">
        <v>0.27</v>
      </c>
      <c r="Q73" s="382">
        <v>0.14</v>
      </c>
      <c r="R73" s="382"/>
      <c r="S73" s="382">
        <v>1.66</v>
      </c>
      <c r="T73" s="382"/>
      <c r="U73" s="382">
        <v>0.26</v>
      </c>
      <c r="V73" s="382"/>
      <c r="W73" s="356"/>
      <c r="X73" s="381">
        <v>28</v>
      </c>
      <c r="Y73" s="381">
        <v>1</v>
      </c>
      <c r="Z73" s="382">
        <v>29.43</v>
      </c>
      <c r="AA73" s="381">
        <v>29</v>
      </c>
      <c r="AB73" s="381">
        <v>1</v>
      </c>
      <c r="AC73" s="381">
        <v>28</v>
      </c>
      <c r="AD73" s="382"/>
      <c r="AE73" s="356">
        <f t="shared" si="52"/>
        <v>8.665799999999999</v>
      </c>
      <c r="AF73" s="356">
        <f t="shared" si="52"/>
        <v>0</v>
      </c>
      <c r="AG73" s="382">
        <v>8.29</v>
      </c>
      <c r="AH73" s="382"/>
      <c r="AI73" s="356">
        <f>AK73+AL73+AN73</f>
        <v>0.29</v>
      </c>
      <c r="AJ73" s="356">
        <f>AM73+AO73</f>
        <v>0</v>
      </c>
      <c r="AK73" s="382">
        <v>0.21</v>
      </c>
      <c r="AL73" s="382">
        <v>0.08</v>
      </c>
      <c r="AM73" s="382"/>
      <c r="AN73" s="382"/>
      <c r="AO73" s="382"/>
      <c r="AP73" s="356">
        <f t="shared" si="53"/>
        <v>0.08579999999999999</v>
      </c>
      <c r="AQ73" s="356">
        <f t="shared" si="53"/>
        <v>0</v>
      </c>
      <c r="AR73" s="356">
        <f t="shared" si="54"/>
        <v>0.5147999999999999</v>
      </c>
      <c r="AS73" s="356">
        <f t="shared" si="54"/>
        <v>0</v>
      </c>
      <c r="AU73" s="303"/>
    </row>
    <row r="74" spans="1:47" s="190" customFormat="1" ht="12.75">
      <c r="A74" s="472"/>
      <c r="B74" s="355"/>
      <c r="C74" s="380" t="s">
        <v>273</v>
      </c>
      <c r="D74" s="356">
        <v>237.47999999999968</v>
      </c>
      <c r="E74" s="356">
        <f>K74+L74+AR74+AS74</f>
        <v>232.86300000000003</v>
      </c>
      <c r="F74" s="356">
        <f>K74+L74</f>
        <v>231.3</v>
      </c>
      <c r="G74" s="381">
        <v>81</v>
      </c>
      <c r="H74" s="381">
        <v>1</v>
      </c>
      <c r="I74" s="381">
        <v>81</v>
      </c>
      <c r="J74" s="381">
        <v>1</v>
      </c>
      <c r="K74" s="356">
        <f>(M74+O74+P74+Q74+S74+U74)*6</f>
        <v>228.18</v>
      </c>
      <c r="L74" s="356">
        <f>(N74+R74+T74+V74)*6</f>
        <v>3.12</v>
      </c>
      <c r="M74" s="382">
        <v>23.93</v>
      </c>
      <c r="N74" s="382">
        <v>0.36</v>
      </c>
      <c r="O74" s="382">
        <v>0.74</v>
      </c>
      <c r="P74" s="382">
        <v>0.22</v>
      </c>
      <c r="Q74" s="382">
        <v>1.51</v>
      </c>
      <c r="R74" s="382">
        <v>0.03</v>
      </c>
      <c r="S74" s="382">
        <v>5.43</v>
      </c>
      <c r="T74" s="382">
        <v>0.04</v>
      </c>
      <c r="U74" s="382">
        <v>6.2</v>
      </c>
      <c r="V74" s="382">
        <v>0.09</v>
      </c>
      <c r="W74" s="356"/>
      <c r="X74" s="381">
        <v>81</v>
      </c>
      <c r="Y74" s="381">
        <v>1</v>
      </c>
      <c r="Z74" s="382">
        <v>45.72</v>
      </c>
      <c r="AA74" s="381">
        <v>81</v>
      </c>
      <c r="AB74" s="381">
        <v>1</v>
      </c>
      <c r="AC74" s="381">
        <v>81</v>
      </c>
      <c r="AD74" s="381">
        <v>1</v>
      </c>
      <c r="AE74" s="356">
        <f t="shared" si="52"/>
        <v>25.9166</v>
      </c>
      <c r="AF74" s="356">
        <f t="shared" si="52"/>
        <v>0.39390000000000003</v>
      </c>
      <c r="AG74" s="382">
        <v>23.93</v>
      </c>
      <c r="AH74" s="382">
        <v>0.36</v>
      </c>
      <c r="AI74" s="356">
        <f>AK74+AL74+AN74</f>
        <v>1.73</v>
      </c>
      <c r="AJ74" s="356">
        <f>AM74+AO74</f>
        <v>0.03</v>
      </c>
      <c r="AK74" s="382">
        <v>0.22</v>
      </c>
      <c r="AL74" s="382">
        <v>1.51</v>
      </c>
      <c r="AM74" s="382">
        <v>0.03</v>
      </c>
      <c r="AN74" s="382"/>
      <c r="AO74" s="382"/>
      <c r="AP74" s="356">
        <f t="shared" si="53"/>
        <v>0.2566</v>
      </c>
      <c r="AQ74" s="356">
        <f t="shared" si="53"/>
        <v>0.0039000000000000003</v>
      </c>
      <c r="AR74" s="356">
        <f t="shared" si="54"/>
        <v>1.5396</v>
      </c>
      <c r="AS74" s="356">
        <f t="shared" si="54"/>
        <v>0.0234</v>
      </c>
      <c r="AU74" s="303"/>
    </row>
    <row r="75" spans="1:47" s="190" customFormat="1" ht="12.75">
      <c r="A75" s="472"/>
      <c r="B75" s="355"/>
      <c r="C75" s="380" t="s">
        <v>275</v>
      </c>
      <c r="D75" s="356">
        <v>40.44359999999997</v>
      </c>
      <c r="E75" s="356">
        <f>K75+L75+AR75+AS75</f>
        <v>39.603216</v>
      </c>
      <c r="F75" s="356">
        <f>K75+L75</f>
        <v>39.303684000000004</v>
      </c>
      <c r="G75" s="357">
        <v>16</v>
      </c>
      <c r="H75" s="357">
        <v>1</v>
      </c>
      <c r="I75" s="357">
        <v>16</v>
      </c>
      <c r="J75" s="357">
        <v>1</v>
      </c>
      <c r="K75" s="356">
        <f>(M75+O75+P75+Q75+S75+U75)*6</f>
        <v>37.537479000000005</v>
      </c>
      <c r="L75" s="356">
        <f>(N75+R75+T75+V75)*6</f>
        <v>1.766205</v>
      </c>
      <c r="M75" s="356">
        <v>4.5819</v>
      </c>
      <c r="N75" s="356">
        <v>0.2403</v>
      </c>
      <c r="O75" s="356"/>
      <c r="P75" s="356">
        <v>0.171</v>
      </c>
      <c r="Q75" s="356"/>
      <c r="R75" s="356"/>
      <c r="S75" s="356">
        <v>0.35424</v>
      </c>
      <c r="T75" s="356"/>
      <c r="U75" s="356">
        <v>1.1491065</v>
      </c>
      <c r="V75" s="356">
        <v>0.0540675</v>
      </c>
      <c r="W75" s="356"/>
      <c r="X75" s="357">
        <v>16</v>
      </c>
      <c r="Y75" s="357">
        <v>1</v>
      </c>
      <c r="Z75" s="356"/>
      <c r="AA75" s="357">
        <v>16</v>
      </c>
      <c r="AB75" s="357">
        <v>1</v>
      </c>
      <c r="AC75" s="357">
        <v>16</v>
      </c>
      <c r="AD75" s="357">
        <v>1</v>
      </c>
      <c r="AE75" s="356">
        <f t="shared" si="52"/>
        <v>4.799419</v>
      </c>
      <c r="AF75" s="356">
        <f t="shared" si="52"/>
        <v>0.242703</v>
      </c>
      <c r="AG75" s="356">
        <v>4.5819</v>
      </c>
      <c r="AH75" s="356">
        <v>0.2403</v>
      </c>
      <c r="AI75" s="356">
        <f>AK75+AL75+AN75</f>
        <v>0.17</v>
      </c>
      <c r="AJ75" s="356">
        <f>AM75+AO75</f>
        <v>0</v>
      </c>
      <c r="AK75" s="356">
        <v>0.17</v>
      </c>
      <c r="AL75" s="356"/>
      <c r="AM75" s="356"/>
      <c r="AN75" s="356"/>
      <c r="AO75" s="356"/>
      <c r="AP75" s="356">
        <f t="shared" si="53"/>
        <v>0.047519</v>
      </c>
      <c r="AQ75" s="356">
        <f t="shared" si="53"/>
        <v>0.002403</v>
      </c>
      <c r="AR75" s="356">
        <f t="shared" si="54"/>
        <v>0.285114</v>
      </c>
      <c r="AS75" s="356">
        <f t="shared" si="54"/>
        <v>0.014418</v>
      </c>
      <c r="AU75" s="303"/>
    </row>
    <row r="76" spans="1:47" s="132" customFormat="1" ht="12.75">
      <c r="A76" s="468"/>
      <c r="B76" s="479"/>
      <c r="C76" s="321" t="s">
        <v>305</v>
      </c>
      <c r="D76" s="317">
        <v>945.1506000000007</v>
      </c>
      <c r="E76" s="317">
        <f>K76+L76+AR76+AS76</f>
        <v>721.6800000000001</v>
      </c>
      <c r="F76" s="317">
        <f>K76+L76</f>
        <v>721.6800000000001</v>
      </c>
      <c r="G76" s="330">
        <v>200</v>
      </c>
      <c r="H76" s="330">
        <v>0</v>
      </c>
      <c r="I76" s="330">
        <v>199</v>
      </c>
      <c r="J76" s="330">
        <v>0</v>
      </c>
      <c r="K76" s="317">
        <f>(M76+O76+P76+Q76+S76+U76)*6</f>
        <v>721.6800000000001</v>
      </c>
      <c r="L76" s="317">
        <f>(N76+R76+T76+V76)*6</f>
        <v>0</v>
      </c>
      <c r="M76" s="317">
        <v>57.83</v>
      </c>
      <c r="N76" s="317">
        <v>0</v>
      </c>
      <c r="O76" s="317">
        <v>7.16</v>
      </c>
      <c r="P76" s="317">
        <v>0.91</v>
      </c>
      <c r="Q76" s="317">
        <v>2.84</v>
      </c>
      <c r="R76" s="317">
        <v>0</v>
      </c>
      <c r="S76" s="317">
        <v>35.51</v>
      </c>
      <c r="T76" s="317">
        <v>0</v>
      </c>
      <c r="U76" s="317">
        <v>16.03</v>
      </c>
      <c r="V76" s="317">
        <v>0</v>
      </c>
      <c r="W76" s="317"/>
      <c r="X76" s="330"/>
      <c r="Y76" s="330"/>
      <c r="Z76" s="317"/>
      <c r="AA76" s="330"/>
      <c r="AB76" s="330"/>
      <c r="AC76" s="330"/>
      <c r="AD76" s="330"/>
      <c r="AE76" s="317"/>
      <c r="AF76" s="317"/>
      <c r="AG76" s="317"/>
      <c r="AH76" s="317"/>
      <c r="AI76" s="317"/>
      <c r="AJ76" s="317"/>
      <c r="AK76" s="317"/>
      <c r="AL76" s="317"/>
      <c r="AM76" s="317"/>
      <c r="AN76" s="317"/>
      <c r="AO76" s="317"/>
      <c r="AP76" s="317"/>
      <c r="AQ76" s="317"/>
      <c r="AR76" s="334"/>
      <c r="AS76" s="334"/>
      <c r="AU76" s="140"/>
    </row>
    <row r="77" spans="1:47" s="132" customFormat="1" ht="12.75">
      <c r="A77" s="468"/>
      <c r="B77" s="325"/>
      <c r="C77" s="321" t="s">
        <v>197</v>
      </c>
      <c r="D77" s="317">
        <v>0</v>
      </c>
      <c r="E77" s="342">
        <f>SUM(E78:E79)</f>
        <v>240.645012</v>
      </c>
      <c r="F77" s="342">
        <f aca="true" t="shared" si="55" ref="F77:AS77">SUM(F78:F79)</f>
        <v>240.306</v>
      </c>
      <c r="G77" s="342">
        <f t="shared" si="55"/>
        <v>88</v>
      </c>
      <c r="H77" s="342">
        <f t="shared" si="55"/>
        <v>8</v>
      </c>
      <c r="I77" s="342">
        <f t="shared" si="55"/>
        <v>87</v>
      </c>
      <c r="J77" s="342">
        <f t="shared" si="55"/>
        <v>6</v>
      </c>
      <c r="K77" s="342">
        <f t="shared" si="55"/>
        <v>228.48600000000002</v>
      </c>
      <c r="L77" s="342">
        <f t="shared" si="55"/>
        <v>11.82</v>
      </c>
      <c r="M77" s="342">
        <f t="shared" si="55"/>
        <v>26.99</v>
      </c>
      <c r="N77" s="342">
        <f t="shared" si="55"/>
        <v>1.49</v>
      </c>
      <c r="O77" s="342">
        <f t="shared" si="55"/>
        <v>2.74</v>
      </c>
      <c r="P77" s="342">
        <f t="shared" si="55"/>
        <v>0.98</v>
      </c>
      <c r="Q77" s="342">
        <f t="shared" si="55"/>
        <v>0.46</v>
      </c>
      <c r="R77" s="342">
        <f t="shared" si="55"/>
        <v>0.11</v>
      </c>
      <c r="S77" s="342">
        <f t="shared" si="55"/>
        <v>0.15100000000000002</v>
      </c>
      <c r="T77" s="342">
        <f t="shared" si="55"/>
        <v>0.02</v>
      </c>
      <c r="U77" s="342">
        <f t="shared" si="55"/>
        <v>6.76</v>
      </c>
      <c r="V77" s="342">
        <f t="shared" si="55"/>
        <v>0.35</v>
      </c>
      <c r="W77" s="342">
        <f t="shared" si="55"/>
        <v>0</v>
      </c>
      <c r="X77" s="342">
        <f t="shared" si="55"/>
        <v>17</v>
      </c>
      <c r="Y77" s="342">
        <f t="shared" si="55"/>
        <v>0</v>
      </c>
      <c r="Z77" s="342">
        <f t="shared" si="55"/>
        <v>0</v>
      </c>
      <c r="AA77" s="342">
        <f t="shared" si="55"/>
        <v>17</v>
      </c>
      <c r="AB77" s="342">
        <f t="shared" si="55"/>
        <v>0</v>
      </c>
      <c r="AC77" s="342">
        <f t="shared" si="55"/>
        <v>17</v>
      </c>
      <c r="AD77" s="342">
        <f t="shared" si="55"/>
        <v>0</v>
      </c>
      <c r="AE77" s="342">
        <f t="shared" si="55"/>
        <v>5.706702</v>
      </c>
      <c r="AF77" s="342">
        <f t="shared" si="55"/>
        <v>0</v>
      </c>
      <c r="AG77" s="342">
        <f t="shared" si="55"/>
        <v>5.3802</v>
      </c>
      <c r="AH77" s="342">
        <f t="shared" si="55"/>
        <v>0</v>
      </c>
      <c r="AI77" s="342">
        <f t="shared" si="55"/>
        <v>0.27</v>
      </c>
      <c r="AJ77" s="342">
        <f t="shared" si="55"/>
        <v>0</v>
      </c>
      <c r="AK77" s="342">
        <f t="shared" si="55"/>
        <v>0.27</v>
      </c>
      <c r="AL77" s="342">
        <f t="shared" si="55"/>
        <v>0</v>
      </c>
      <c r="AM77" s="342">
        <f t="shared" si="55"/>
        <v>0</v>
      </c>
      <c r="AN77" s="342">
        <f t="shared" si="55"/>
        <v>0</v>
      </c>
      <c r="AO77" s="342">
        <f t="shared" si="55"/>
        <v>0</v>
      </c>
      <c r="AP77" s="342">
        <f t="shared" si="55"/>
        <v>0.056502</v>
      </c>
      <c r="AQ77" s="342">
        <f t="shared" si="55"/>
        <v>0</v>
      </c>
      <c r="AR77" s="342">
        <f t="shared" si="55"/>
        <v>0.339012</v>
      </c>
      <c r="AS77" s="342">
        <f t="shared" si="55"/>
        <v>0</v>
      </c>
      <c r="AU77" s="140"/>
    </row>
    <row r="78" spans="1:47" ht="15.75" customHeight="1">
      <c r="A78" s="470"/>
      <c r="B78" s="294"/>
      <c r="C78" s="175" t="s">
        <v>190</v>
      </c>
      <c r="D78" s="314">
        <v>0</v>
      </c>
      <c r="E78" s="314">
        <f>K78+L78+AR78+AS78</f>
        <v>198.18</v>
      </c>
      <c r="F78" s="314">
        <f>K78+L78</f>
        <v>198.18</v>
      </c>
      <c r="G78" s="329">
        <v>71</v>
      </c>
      <c r="H78" s="329">
        <v>8</v>
      </c>
      <c r="I78" s="329">
        <v>70</v>
      </c>
      <c r="J78" s="329">
        <v>6</v>
      </c>
      <c r="K78" s="314">
        <f>(M78+O78+P78+Q78+S78+U78)*6</f>
        <v>186.36</v>
      </c>
      <c r="L78" s="314">
        <f>(N78+R78+T78+V78)*6</f>
        <v>11.82</v>
      </c>
      <c r="M78" s="314">
        <v>21.61</v>
      </c>
      <c r="N78" s="314">
        <v>1.49</v>
      </c>
      <c r="O78" s="314">
        <v>2.74</v>
      </c>
      <c r="P78" s="314">
        <v>0.71</v>
      </c>
      <c r="Q78" s="314">
        <v>0.46</v>
      </c>
      <c r="R78" s="314">
        <v>0.11</v>
      </c>
      <c r="S78" s="314">
        <v>0.07</v>
      </c>
      <c r="T78" s="314">
        <v>0.02</v>
      </c>
      <c r="U78" s="314">
        <v>5.47</v>
      </c>
      <c r="V78" s="314">
        <v>0.35</v>
      </c>
      <c r="W78" s="314"/>
      <c r="X78" s="329"/>
      <c r="Y78" s="329"/>
      <c r="Z78" s="314"/>
      <c r="AA78" s="329"/>
      <c r="AB78" s="329"/>
      <c r="AC78" s="329"/>
      <c r="AD78" s="329"/>
      <c r="AE78" s="314"/>
      <c r="AF78" s="314"/>
      <c r="AG78" s="314"/>
      <c r="AH78" s="314"/>
      <c r="AI78" s="314"/>
      <c r="AJ78" s="314"/>
      <c r="AK78" s="314"/>
      <c r="AL78" s="314"/>
      <c r="AM78" s="314"/>
      <c r="AN78" s="314"/>
      <c r="AO78" s="314"/>
      <c r="AP78" s="314"/>
      <c r="AQ78" s="314"/>
      <c r="AR78" s="333"/>
      <c r="AS78" s="333"/>
      <c r="AU78" s="289"/>
    </row>
    <row r="79" spans="1:47" ht="25.5">
      <c r="A79" s="470"/>
      <c r="B79" s="294"/>
      <c r="C79" s="175" t="s">
        <v>213</v>
      </c>
      <c r="D79" s="314">
        <v>0</v>
      </c>
      <c r="E79" s="338">
        <f>K79+L79+AR79+AS79</f>
        <v>42.465012</v>
      </c>
      <c r="F79" s="338">
        <f>K79+L79</f>
        <v>42.126000000000005</v>
      </c>
      <c r="G79" s="339">
        <v>17</v>
      </c>
      <c r="H79" s="339">
        <v>0</v>
      </c>
      <c r="I79" s="339">
        <v>17</v>
      </c>
      <c r="J79" s="339">
        <v>0</v>
      </c>
      <c r="K79" s="338">
        <f>(M79+O79+P79+Q79+S79+U79)*6</f>
        <v>42.126000000000005</v>
      </c>
      <c r="L79" s="338">
        <f>(N79+R79+T79+V79)*6</f>
        <v>0</v>
      </c>
      <c r="M79" s="424">
        <v>5.38</v>
      </c>
      <c r="N79" s="425">
        <v>0</v>
      </c>
      <c r="O79" s="425">
        <v>0</v>
      </c>
      <c r="P79" s="424">
        <f>3*0.09</f>
        <v>0.27</v>
      </c>
      <c r="Q79" s="425">
        <v>0</v>
      </c>
      <c r="R79" s="425">
        <v>0</v>
      </c>
      <c r="S79" s="424">
        <f>0.9*0.09</f>
        <v>0.081</v>
      </c>
      <c r="T79" s="425">
        <v>0</v>
      </c>
      <c r="U79" s="426">
        <v>1.29</v>
      </c>
      <c r="V79" s="425">
        <v>0</v>
      </c>
      <c r="W79" s="403"/>
      <c r="X79" s="404">
        <v>17</v>
      </c>
      <c r="Y79" s="401"/>
      <c r="Z79" s="404">
        <v>0</v>
      </c>
      <c r="AA79" s="404">
        <v>17</v>
      </c>
      <c r="AB79" s="404">
        <v>0</v>
      </c>
      <c r="AC79" s="404">
        <v>17</v>
      </c>
      <c r="AD79" s="403">
        <f>(AF79+AJ79+AL79+AN79)*6</f>
        <v>0</v>
      </c>
      <c r="AE79" s="338">
        <f>AG79+AI79+AP79</f>
        <v>5.706702</v>
      </c>
      <c r="AF79" s="338">
        <f>AH79+AJ79+AQ79</f>
        <v>0</v>
      </c>
      <c r="AG79" s="405">
        <f>59.78*0.09</f>
        <v>5.3802</v>
      </c>
      <c r="AH79" s="402">
        <v>0</v>
      </c>
      <c r="AI79" s="338">
        <f>AK79+AL79+AN79</f>
        <v>0.27</v>
      </c>
      <c r="AJ79" s="338">
        <f>AM79+AO79</f>
        <v>0</v>
      </c>
      <c r="AK79" s="338">
        <v>0.27</v>
      </c>
      <c r="AL79" s="338">
        <v>0</v>
      </c>
      <c r="AM79" s="338">
        <v>0</v>
      </c>
      <c r="AN79" s="338">
        <v>0</v>
      </c>
      <c r="AO79" s="338">
        <v>0</v>
      </c>
      <c r="AP79" s="338">
        <f>(AG79+AI79)*1%</f>
        <v>0.056502</v>
      </c>
      <c r="AQ79" s="338">
        <f>(AH79+AJ79)*1%</f>
        <v>0</v>
      </c>
      <c r="AR79" s="338">
        <f>AP79*6</f>
        <v>0.339012</v>
      </c>
      <c r="AS79" s="338">
        <f>AQ79*6</f>
        <v>0</v>
      </c>
      <c r="AU79" s="289"/>
    </row>
    <row r="80" spans="1:47" s="132" customFormat="1" ht="12.75">
      <c r="A80" s="468"/>
      <c r="B80" s="325" t="s">
        <v>157</v>
      </c>
      <c r="C80" s="129" t="s">
        <v>156</v>
      </c>
      <c r="D80" s="317">
        <v>281.63424000000003</v>
      </c>
      <c r="E80" s="342">
        <f>SUM(E81:E91)</f>
        <v>476.9962799999999</v>
      </c>
      <c r="F80" s="342">
        <f>SUM(F81:F91)</f>
        <v>474.96</v>
      </c>
      <c r="G80" s="370">
        <f aca="true" t="shared" si="56" ref="G80:AS80">SUM(G81:G91)</f>
        <v>103</v>
      </c>
      <c r="H80" s="370">
        <f t="shared" si="56"/>
        <v>0</v>
      </c>
      <c r="I80" s="370">
        <f t="shared" si="56"/>
        <v>113</v>
      </c>
      <c r="J80" s="370">
        <f t="shared" si="56"/>
        <v>0</v>
      </c>
      <c r="K80" s="342">
        <f t="shared" si="56"/>
        <v>474.96</v>
      </c>
      <c r="L80" s="342">
        <f t="shared" si="56"/>
        <v>0</v>
      </c>
      <c r="M80" s="342">
        <f t="shared" si="56"/>
        <v>66.03</v>
      </c>
      <c r="N80" s="342">
        <f t="shared" si="56"/>
        <v>0</v>
      </c>
      <c r="O80" s="342">
        <f t="shared" si="56"/>
        <v>0.05</v>
      </c>
      <c r="P80" s="342">
        <f t="shared" si="56"/>
        <v>1.3080000000000003</v>
      </c>
      <c r="Q80" s="342">
        <f t="shared" si="56"/>
        <v>1.4100000000000001</v>
      </c>
      <c r="R80" s="342">
        <f t="shared" si="56"/>
        <v>0</v>
      </c>
      <c r="S80" s="342">
        <f t="shared" si="56"/>
        <v>1.9400000000000002</v>
      </c>
      <c r="T80" s="342">
        <f t="shared" si="56"/>
        <v>0</v>
      </c>
      <c r="U80" s="342">
        <f t="shared" si="56"/>
        <v>8.422</v>
      </c>
      <c r="V80" s="342">
        <f t="shared" si="56"/>
        <v>0</v>
      </c>
      <c r="W80" s="342">
        <f t="shared" si="56"/>
        <v>0</v>
      </c>
      <c r="X80" s="342">
        <f t="shared" si="56"/>
        <v>109</v>
      </c>
      <c r="Y80" s="342">
        <f t="shared" si="56"/>
        <v>0</v>
      </c>
      <c r="Z80" s="342">
        <f t="shared" si="56"/>
        <v>40.503</v>
      </c>
      <c r="AA80" s="342">
        <f t="shared" si="56"/>
        <v>103</v>
      </c>
      <c r="AB80" s="342">
        <f t="shared" si="56"/>
        <v>0</v>
      </c>
      <c r="AC80" s="342">
        <f t="shared" si="56"/>
        <v>114</v>
      </c>
      <c r="AD80" s="342">
        <f t="shared" si="56"/>
        <v>0</v>
      </c>
      <c r="AE80" s="342">
        <f t="shared" si="56"/>
        <v>34.277379999999994</v>
      </c>
      <c r="AF80" s="342">
        <f t="shared" si="56"/>
        <v>0</v>
      </c>
      <c r="AG80" s="342">
        <f t="shared" si="56"/>
        <v>31.12</v>
      </c>
      <c r="AH80" s="342">
        <f t="shared" si="56"/>
        <v>0</v>
      </c>
      <c r="AI80" s="342">
        <f t="shared" si="56"/>
        <v>2.818</v>
      </c>
      <c r="AJ80" s="342">
        <f t="shared" si="56"/>
        <v>0</v>
      </c>
      <c r="AK80" s="342">
        <f t="shared" si="56"/>
        <v>0.9580000000000001</v>
      </c>
      <c r="AL80" s="342">
        <f t="shared" si="56"/>
        <v>0.26</v>
      </c>
      <c r="AM80" s="342">
        <f t="shared" si="56"/>
        <v>0</v>
      </c>
      <c r="AN80" s="342">
        <f t="shared" si="56"/>
        <v>1.6</v>
      </c>
      <c r="AO80" s="342">
        <f t="shared" si="56"/>
        <v>0</v>
      </c>
      <c r="AP80" s="342">
        <f t="shared" si="56"/>
        <v>0.33938</v>
      </c>
      <c r="AQ80" s="342">
        <f t="shared" si="56"/>
        <v>0</v>
      </c>
      <c r="AR80" s="342">
        <f t="shared" si="56"/>
        <v>2.03628</v>
      </c>
      <c r="AS80" s="342">
        <f t="shared" si="56"/>
        <v>0</v>
      </c>
      <c r="AU80" s="140"/>
    </row>
    <row r="81" spans="1:47" ht="25.5">
      <c r="A81" s="470"/>
      <c r="B81" s="294"/>
      <c r="C81" s="175" t="s">
        <v>186</v>
      </c>
      <c r="D81" s="314">
        <v>24.12</v>
      </c>
      <c r="E81" s="314">
        <f>K81+L81+AR81+AS81</f>
        <v>12.0252</v>
      </c>
      <c r="F81" s="314">
        <f>K81+L81</f>
        <v>11.94</v>
      </c>
      <c r="G81" s="329">
        <v>8</v>
      </c>
      <c r="H81" s="329">
        <v>0</v>
      </c>
      <c r="I81" s="329">
        <v>8</v>
      </c>
      <c r="J81" s="329">
        <v>0</v>
      </c>
      <c r="K81" s="314">
        <f aca="true" t="shared" si="57" ref="K81:K91">(M81+O81+P81+Q81+S81+U81)*6</f>
        <v>11.94</v>
      </c>
      <c r="L81" s="314">
        <f aca="true" t="shared" si="58" ref="L81:L91">(N81+R81+T81+V81)*6</f>
        <v>0</v>
      </c>
      <c r="M81" s="314">
        <v>1.4</v>
      </c>
      <c r="N81" s="314">
        <v>0</v>
      </c>
      <c r="O81" s="314">
        <v>0</v>
      </c>
      <c r="P81" s="314">
        <v>0.07</v>
      </c>
      <c r="Q81" s="314">
        <v>0.02</v>
      </c>
      <c r="R81" s="314">
        <v>0</v>
      </c>
      <c r="S81" s="314">
        <v>0</v>
      </c>
      <c r="T81" s="314">
        <v>0</v>
      </c>
      <c r="U81" s="314">
        <v>0.5</v>
      </c>
      <c r="V81" s="314">
        <v>0</v>
      </c>
      <c r="W81" s="314"/>
      <c r="X81" s="329">
        <v>8</v>
      </c>
      <c r="Y81" s="329"/>
      <c r="Z81" s="314"/>
      <c r="AA81" s="329">
        <v>8</v>
      </c>
      <c r="AB81" s="329"/>
      <c r="AC81" s="329">
        <v>8</v>
      </c>
      <c r="AD81" s="329"/>
      <c r="AE81" s="314">
        <f aca="true" t="shared" si="59" ref="AE81:AF91">AG81+AI81+AP81</f>
        <v>1.4342</v>
      </c>
      <c r="AF81" s="314">
        <f t="shared" si="59"/>
        <v>0</v>
      </c>
      <c r="AG81" s="314">
        <v>1.4</v>
      </c>
      <c r="AH81" s="314">
        <v>0</v>
      </c>
      <c r="AI81" s="314">
        <f aca="true" t="shared" si="60" ref="AI81:AI91">AK81+AL81+AN81</f>
        <v>0.02</v>
      </c>
      <c r="AJ81" s="314">
        <f aca="true" t="shared" si="61" ref="AJ81:AJ91">AM81+AO81</f>
        <v>0</v>
      </c>
      <c r="AK81" s="314">
        <v>0.02</v>
      </c>
      <c r="AL81" s="314"/>
      <c r="AM81" s="314"/>
      <c r="AN81" s="314"/>
      <c r="AO81" s="314"/>
      <c r="AP81" s="314">
        <f aca="true" t="shared" si="62" ref="AP81:AQ91">(AG81+AI81)*1%</f>
        <v>0.014199999999999999</v>
      </c>
      <c r="AQ81" s="314">
        <f t="shared" si="62"/>
        <v>0</v>
      </c>
      <c r="AR81" s="314">
        <f aca="true" t="shared" si="63" ref="AR81:AS91">AP81*6</f>
        <v>0.0852</v>
      </c>
      <c r="AS81" s="314">
        <f t="shared" si="63"/>
        <v>0</v>
      </c>
      <c r="AU81" s="289"/>
    </row>
    <row r="82" spans="1:47" ht="12.75">
      <c r="A82" s="470"/>
      <c r="B82" s="294"/>
      <c r="C82" s="175" t="s">
        <v>187</v>
      </c>
      <c r="D82" s="314">
        <v>39.66000000000004</v>
      </c>
      <c r="E82" s="314">
        <f aca="true" t="shared" si="64" ref="E82:E91">K82+L82+AR82+AS82</f>
        <v>21.4728</v>
      </c>
      <c r="F82" s="314">
        <f aca="true" t="shared" si="65" ref="F82:F91">K82+L82</f>
        <v>21.3</v>
      </c>
      <c r="G82" s="329">
        <v>12</v>
      </c>
      <c r="H82" s="329"/>
      <c r="I82" s="329">
        <v>9</v>
      </c>
      <c r="J82" s="329"/>
      <c r="K82" s="314">
        <f t="shared" si="57"/>
        <v>21.3</v>
      </c>
      <c r="L82" s="314">
        <f t="shared" si="58"/>
        <v>0</v>
      </c>
      <c r="M82" s="314">
        <v>2.7</v>
      </c>
      <c r="N82" s="314">
        <v>0</v>
      </c>
      <c r="O82" s="314">
        <v>0</v>
      </c>
      <c r="P82" s="314">
        <v>0.18</v>
      </c>
      <c r="Q82" s="314">
        <v>0</v>
      </c>
      <c r="R82" s="314">
        <v>0</v>
      </c>
      <c r="S82" s="314">
        <v>0</v>
      </c>
      <c r="T82" s="314">
        <v>0</v>
      </c>
      <c r="U82" s="314">
        <v>0.67</v>
      </c>
      <c r="V82" s="314">
        <v>0</v>
      </c>
      <c r="W82" s="314"/>
      <c r="X82" s="329">
        <v>9</v>
      </c>
      <c r="Y82" s="329"/>
      <c r="Z82" s="314">
        <v>7.9</v>
      </c>
      <c r="AA82" s="329">
        <v>12</v>
      </c>
      <c r="AB82" s="329"/>
      <c r="AC82" s="329">
        <v>9</v>
      </c>
      <c r="AD82" s="329"/>
      <c r="AE82" s="314">
        <f t="shared" si="59"/>
        <v>2.9088000000000003</v>
      </c>
      <c r="AF82" s="314">
        <f t="shared" si="59"/>
        <v>0</v>
      </c>
      <c r="AG82" s="314">
        <v>2.7</v>
      </c>
      <c r="AH82" s="314"/>
      <c r="AI82" s="314">
        <f t="shared" si="60"/>
        <v>0.18</v>
      </c>
      <c r="AJ82" s="314">
        <f t="shared" si="61"/>
        <v>0</v>
      </c>
      <c r="AK82" s="314">
        <v>0.18</v>
      </c>
      <c r="AL82" s="314">
        <v>0</v>
      </c>
      <c r="AM82" s="314">
        <v>0</v>
      </c>
      <c r="AN82" s="314">
        <v>0</v>
      </c>
      <c r="AO82" s="314">
        <v>0</v>
      </c>
      <c r="AP82" s="314">
        <f t="shared" si="62"/>
        <v>0.028800000000000003</v>
      </c>
      <c r="AQ82" s="314">
        <f t="shared" si="62"/>
        <v>0</v>
      </c>
      <c r="AR82" s="314">
        <f t="shared" si="63"/>
        <v>0.1728</v>
      </c>
      <c r="AS82" s="314">
        <f t="shared" si="63"/>
        <v>0</v>
      </c>
      <c r="AU82" s="289"/>
    </row>
    <row r="83" spans="1:47" ht="12.75">
      <c r="A83" s="470"/>
      <c r="B83" s="294"/>
      <c r="C83" s="175" t="s">
        <v>188</v>
      </c>
      <c r="D83" s="314">
        <v>25.690740000000016</v>
      </c>
      <c r="E83" s="314">
        <f t="shared" si="64"/>
        <v>18.87408</v>
      </c>
      <c r="F83" s="314">
        <f t="shared" si="65"/>
        <v>18.72</v>
      </c>
      <c r="G83" s="329">
        <v>12</v>
      </c>
      <c r="H83" s="329"/>
      <c r="I83" s="329">
        <v>9</v>
      </c>
      <c r="J83" s="329"/>
      <c r="K83" s="314">
        <f t="shared" si="57"/>
        <v>18.72</v>
      </c>
      <c r="L83" s="314">
        <f t="shared" si="58"/>
        <v>0</v>
      </c>
      <c r="M83" s="314">
        <v>2.46</v>
      </c>
      <c r="N83" s="314"/>
      <c r="O83" s="314"/>
      <c r="P83" s="314">
        <v>0.108</v>
      </c>
      <c r="Q83" s="314"/>
      <c r="R83" s="314"/>
      <c r="S83" s="314"/>
      <c r="T83" s="314"/>
      <c r="U83" s="314">
        <v>0.552</v>
      </c>
      <c r="V83" s="314"/>
      <c r="W83" s="314"/>
      <c r="X83" s="329">
        <v>10</v>
      </c>
      <c r="Y83" s="329"/>
      <c r="Z83" s="314">
        <v>0.513</v>
      </c>
      <c r="AA83" s="329">
        <v>12</v>
      </c>
      <c r="AB83" s="329"/>
      <c r="AC83" s="329">
        <v>9</v>
      </c>
      <c r="AD83" s="329"/>
      <c r="AE83" s="314">
        <f t="shared" si="59"/>
        <v>2.59368</v>
      </c>
      <c r="AF83" s="314">
        <f t="shared" si="59"/>
        <v>0</v>
      </c>
      <c r="AG83" s="314">
        <v>2.46</v>
      </c>
      <c r="AH83" s="314"/>
      <c r="AI83" s="314">
        <f t="shared" si="60"/>
        <v>0.108</v>
      </c>
      <c r="AJ83" s="314">
        <f t="shared" si="61"/>
        <v>0</v>
      </c>
      <c r="AK83" s="314">
        <v>0.108</v>
      </c>
      <c r="AL83" s="314"/>
      <c r="AM83" s="314"/>
      <c r="AN83" s="314"/>
      <c r="AO83" s="314"/>
      <c r="AP83" s="314">
        <f t="shared" si="62"/>
        <v>0.02568</v>
      </c>
      <c r="AQ83" s="314">
        <f t="shared" si="62"/>
        <v>0</v>
      </c>
      <c r="AR83" s="314">
        <f t="shared" si="63"/>
        <v>0.15408</v>
      </c>
      <c r="AS83" s="314">
        <f t="shared" si="63"/>
        <v>0</v>
      </c>
      <c r="AU83" s="289"/>
    </row>
    <row r="84" spans="1:47" ht="25.5">
      <c r="A84" s="470"/>
      <c r="B84" s="294"/>
      <c r="C84" s="175" t="s">
        <v>355</v>
      </c>
      <c r="D84" s="314">
        <v>23.130059999999965</v>
      </c>
      <c r="E84" s="314">
        <f t="shared" si="64"/>
        <v>23.165399999999998</v>
      </c>
      <c r="F84" s="314">
        <f t="shared" si="65"/>
        <v>22.979999999999997</v>
      </c>
      <c r="G84" s="329">
        <v>12</v>
      </c>
      <c r="H84" s="329"/>
      <c r="I84" s="329">
        <v>12</v>
      </c>
      <c r="J84" s="329"/>
      <c r="K84" s="314">
        <f t="shared" si="57"/>
        <v>22.979999999999997</v>
      </c>
      <c r="L84" s="314">
        <f t="shared" si="58"/>
        <v>0</v>
      </c>
      <c r="M84" s="314">
        <v>2.92</v>
      </c>
      <c r="N84" s="314"/>
      <c r="O84" s="314"/>
      <c r="P84" s="314">
        <v>0.17</v>
      </c>
      <c r="Q84" s="314"/>
      <c r="R84" s="314"/>
      <c r="S84" s="314">
        <v>0.03</v>
      </c>
      <c r="T84" s="314"/>
      <c r="U84" s="314">
        <v>0.71</v>
      </c>
      <c r="V84" s="314"/>
      <c r="W84" s="314"/>
      <c r="X84" s="329">
        <v>12</v>
      </c>
      <c r="Y84" s="329"/>
      <c r="Z84" s="314"/>
      <c r="AA84" s="329">
        <v>12</v>
      </c>
      <c r="AB84" s="329"/>
      <c r="AC84" s="329">
        <v>12</v>
      </c>
      <c r="AD84" s="329"/>
      <c r="AE84" s="314">
        <f t="shared" si="59"/>
        <v>3.1209</v>
      </c>
      <c r="AF84" s="314">
        <f t="shared" si="59"/>
        <v>0</v>
      </c>
      <c r="AG84" s="314">
        <v>2.92</v>
      </c>
      <c r="AH84" s="314"/>
      <c r="AI84" s="314">
        <f t="shared" si="60"/>
        <v>0.17</v>
      </c>
      <c r="AJ84" s="314">
        <f t="shared" si="61"/>
        <v>0</v>
      </c>
      <c r="AK84" s="314"/>
      <c r="AL84" s="314">
        <v>0.17</v>
      </c>
      <c r="AM84" s="314"/>
      <c r="AN84" s="314"/>
      <c r="AO84" s="314"/>
      <c r="AP84" s="314">
        <f t="shared" si="62"/>
        <v>0.0309</v>
      </c>
      <c r="AQ84" s="314">
        <f t="shared" si="62"/>
        <v>0</v>
      </c>
      <c r="AR84" s="314">
        <f t="shared" si="63"/>
        <v>0.1854</v>
      </c>
      <c r="AS84" s="314">
        <f t="shared" si="63"/>
        <v>0</v>
      </c>
      <c r="AU84" s="289"/>
    </row>
    <row r="85" spans="1:47" ht="25.5">
      <c r="A85" s="470"/>
      <c r="B85" s="294"/>
      <c r="C85" s="175" t="s">
        <v>248</v>
      </c>
      <c r="D85" s="314">
        <v>26.90358000000006</v>
      </c>
      <c r="E85" s="314">
        <f t="shared" si="64"/>
        <v>33.1896</v>
      </c>
      <c r="F85" s="314">
        <f t="shared" si="65"/>
        <v>32.94</v>
      </c>
      <c r="G85" s="329">
        <v>17</v>
      </c>
      <c r="H85" s="329">
        <v>0</v>
      </c>
      <c r="I85" s="329">
        <v>17</v>
      </c>
      <c r="J85" s="329">
        <v>0</v>
      </c>
      <c r="K85" s="314">
        <f t="shared" si="57"/>
        <v>32.94</v>
      </c>
      <c r="L85" s="314">
        <f t="shared" si="58"/>
        <v>0</v>
      </c>
      <c r="M85" s="314">
        <v>3.99</v>
      </c>
      <c r="N85" s="314"/>
      <c r="O85" s="314"/>
      <c r="P85" s="314">
        <v>0.17</v>
      </c>
      <c r="Q85" s="314"/>
      <c r="R85" s="314"/>
      <c r="S85" s="314"/>
      <c r="T85" s="314"/>
      <c r="U85" s="314">
        <v>1.33</v>
      </c>
      <c r="V85" s="314"/>
      <c r="W85" s="314"/>
      <c r="X85" s="329">
        <v>17</v>
      </c>
      <c r="Y85" s="329"/>
      <c r="Z85" s="314"/>
      <c r="AA85" s="329">
        <v>17</v>
      </c>
      <c r="AB85" s="329"/>
      <c r="AC85" s="329">
        <v>17</v>
      </c>
      <c r="AD85" s="329"/>
      <c r="AE85" s="314">
        <f t="shared" si="59"/>
        <v>4.2016</v>
      </c>
      <c r="AF85" s="314">
        <f t="shared" si="59"/>
        <v>0</v>
      </c>
      <c r="AG85" s="314">
        <v>3.99</v>
      </c>
      <c r="AH85" s="314"/>
      <c r="AI85" s="314">
        <f t="shared" si="60"/>
        <v>0.17</v>
      </c>
      <c r="AJ85" s="314">
        <f t="shared" si="61"/>
        <v>0</v>
      </c>
      <c r="AK85" s="314">
        <v>0.17</v>
      </c>
      <c r="AL85" s="314"/>
      <c r="AM85" s="314"/>
      <c r="AN85" s="314"/>
      <c r="AO85" s="314"/>
      <c r="AP85" s="314">
        <f t="shared" si="62"/>
        <v>0.041600000000000005</v>
      </c>
      <c r="AQ85" s="314">
        <f t="shared" si="62"/>
        <v>0</v>
      </c>
      <c r="AR85" s="314">
        <f t="shared" si="63"/>
        <v>0.24960000000000004</v>
      </c>
      <c r="AS85" s="314">
        <f t="shared" si="63"/>
        <v>0</v>
      </c>
      <c r="AU85" s="289"/>
    </row>
    <row r="86" spans="1:47" ht="25.5">
      <c r="A86" s="470"/>
      <c r="B86" s="294"/>
      <c r="C86" s="175" t="s">
        <v>230</v>
      </c>
      <c r="D86" s="314">
        <v>53.993999999999986</v>
      </c>
      <c r="E86" s="314">
        <f t="shared" si="64"/>
        <v>64.9206</v>
      </c>
      <c r="F86" s="314">
        <f t="shared" si="65"/>
        <v>64.38</v>
      </c>
      <c r="G86" s="329">
        <v>32</v>
      </c>
      <c r="H86" s="329"/>
      <c r="I86" s="329">
        <v>24</v>
      </c>
      <c r="J86" s="329"/>
      <c r="K86" s="314">
        <f t="shared" si="57"/>
        <v>64.38</v>
      </c>
      <c r="L86" s="314">
        <f t="shared" si="58"/>
        <v>0</v>
      </c>
      <c r="M86" s="314">
        <v>7.02</v>
      </c>
      <c r="N86" s="314"/>
      <c r="O86" s="314">
        <v>0.05</v>
      </c>
      <c r="P86" s="314">
        <v>0.3</v>
      </c>
      <c r="Q86" s="314">
        <v>0.09</v>
      </c>
      <c r="R86" s="314"/>
      <c r="S86" s="314">
        <v>1.6</v>
      </c>
      <c r="T86" s="314"/>
      <c r="U86" s="314">
        <v>1.67</v>
      </c>
      <c r="V86" s="314"/>
      <c r="W86" s="314"/>
      <c r="X86" s="329">
        <v>24</v>
      </c>
      <c r="Y86" s="329"/>
      <c r="Z86" s="314">
        <v>22.3</v>
      </c>
      <c r="AA86" s="329">
        <v>32</v>
      </c>
      <c r="AB86" s="329"/>
      <c r="AC86" s="329">
        <v>32</v>
      </c>
      <c r="AD86" s="329"/>
      <c r="AE86" s="314">
        <f t="shared" si="59"/>
        <v>9.1001</v>
      </c>
      <c r="AF86" s="314">
        <f t="shared" si="59"/>
        <v>0</v>
      </c>
      <c r="AG86" s="314">
        <v>7.02</v>
      </c>
      <c r="AH86" s="314"/>
      <c r="AI86" s="314">
        <f t="shared" si="60"/>
        <v>1.9900000000000002</v>
      </c>
      <c r="AJ86" s="314">
        <f t="shared" si="61"/>
        <v>0</v>
      </c>
      <c r="AK86" s="314">
        <v>0.3</v>
      </c>
      <c r="AL86" s="314">
        <v>0.09</v>
      </c>
      <c r="AM86" s="314"/>
      <c r="AN86" s="314">
        <v>1.6</v>
      </c>
      <c r="AO86" s="314"/>
      <c r="AP86" s="314">
        <f t="shared" si="62"/>
        <v>0.0901</v>
      </c>
      <c r="AQ86" s="314">
        <f t="shared" si="62"/>
        <v>0</v>
      </c>
      <c r="AR86" s="314">
        <f t="shared" si="63"/>
        <v>0.5406</v>
      </c>
      <c r="AS86" s="314">
        <f t="shared" si="63"/>
        <v>0</v>
      </c>
      <c r="AU86" s="289"/>
    </row>
    <row r="87" spans="1:47" ht="12.75">
      <c r="A87" s="470"/>
      <c r="B87" s="294"/>
      <c r="C87" s="175" t="s">
        <v>231</v>
      </c>
      <c r="D87" s="314">
        <v>21.410399999999996</v>
      </c>
      <c r="E87" s="314">
        <f t="shared" si="64"/>
        <v>22.5006</v>
      </c>
      <c r="F87" s="314">
        <f t="shared" si="65"/>
        <v>22.32</v>
      </c>
      <c r="G87" s="329">
        <v>10</v>
      </c>
      <c r="H87" s="329"/>
      <c r="I87" s="329">
        <v>10</v>
      </c>
      <c r="J87" s="329"/>
      <c r="K87" s="314">
        <f t="shared" si="57"/>
        <v>22.32</v>
      </c>
      <c r="L87" s="314">
        <f t="shared" si="58"/>
        <v>0</v>
      </c>
      <c r="M87" s="314">
        <v>2.88</v>
      </c>
      <c r="N87" s="314"/>
      <c r="O87" s="314"/>
      <c r="P87" s="314">
        <v>0.13</v>
      </c>
      <c r="Q87" s="314"/>
      <c r="R87" s="314"/>
      <c r="S87" s="314">
        <v>0.03</v>
      </c>
      <c r="T87" s="314"/>
      <c r="U87" s="314">
        <v>0.68</v>
      </c>
      <c r="V87" s="314"/>
      <c r="W87" s="314"/>
      <c r="X87" s="329">
        <v>8</v>
      </c>
      <c r="Y87" s="329"/>
      <c r="Z87" s="314">
        <v>9.73</v>
      </c>
      <c r="AA87" s="329">
        <v>10</v>
      </c>
      <c r="AB87" s="329"/>
      <c r="AC87" s="329">
        <v>10</v>
      </c>
      <c r="AD87" s="329"/>
      <c r="AE87" s="314">
        <f t="shared" si="59"/>
        <v>3.0401</v>
      </c>
      <c r="AF87" s="314">
        <f t="shared" si="59"/>
        <v>0</v>
      </c>
      <c r="AG87" s="314">
        <v>2.88</v>
      </c>
      <c r="AH87" s="314"/>
      <c r="AI87" s="314">
        <f t="shared" si="60"/>
        <v>0.13</v>
      </c>
      <c r="AJ87" s="314">
        <f t="shared" si="61"/>
        <v>0</v>
      </c>
      <c r="AK87" s="314">
        <v>0.13</v>
      </c>
      <c r="AL87" s="314"/>
      <c r="AM87" s="314"/>
      <c r="AN87" s="314"/>
      <c r="AO87" s="314"/>
      <c r="AP87" s="314">
        <f t="shared" si="62"/>
        <v>0.0301</v>
      </c>
      <c r="AQ87" s="314">
        <f t="shared" si="62"/>
        <v>0</v>
      </c>
      <c r="AR87" s="314">
        <f t="shared" si="63"/>
        <v>0.18059999999999998</v>
      </c>
      <c r="AS87" s="314">
        <f t="shared" si="63"/>
        <v>0</v>
      </c>
      <c r="AU87" s="289"/>
    </row>
    <row r="88" spans="1:47" ht="18" customHeight="1">
      <c r="A88" s="470"/>
      <c r="B88" s="294"/>
      <c r="C88" s="175" t="s">
        <v>232</v>
      </c>
      <c r="D88" s="314">
        <v>19.834859999999992</v>
      </c>
      <c r="E88" s="314">
        <f t="shared" si="64"/>
        <v>23.046599999999998</v>
      </c>
      <c r="F88" s="314">
        <f t="shared" si="65"/>
        <v>22.86</v>
      </c>
      <c r="G88" s="329"/>
      <c r="H88" s="329"/>
      <c r="I88" s="329">
        <v>11</v>
      </c>
      <c r="J88" s="329"/>
      <c r="K88" s="314">
        <f t="shared" si="57"/>
        <v>22.86</v>
      </c>
      <c r="L88" s="314">
        <f t="shared" si="58"/>
        <v>0</v>
      </c>
      <c r="M88" s="314">
        <v>3.06</v>
      </c>
      <c r="N88" s="314"/>
      <c r="O88" s="314"/>
      <c r="P88" s="314">
        <v>0.05</v>
      </c>
      <c r="Q88" s="314"/>
      <c r="R88" s="314"/>
      <c r="S88" s="314"/>
      <c r="T88" s="314"/>
      <c r="U88" s="314">
        <v>0.7</v>
      </c>
      <c r="V88" s="314"/>
      <c r="W88" s="314"/>
      <c r="X88" s="329">
        <v>11</v>
      </c>
      <c r="Y88" s="329"/>
      <c r="Z88" s="314">
        <v>0.06</v>
      </c>
      <c r="AA88" s="329"/>
      <c r="AB88" s="329"/>
      <c r="AC88" s="329">
        <v>11</v>
      </c>
      <c r="AD88" s="329"/>
      <c r="AE88" s="314">
        <f t="shared" si="59"/>
        <v>3.1411</v>
      </c>
      <c r="AF88" s="314">
        <f t="shared" si="59"/>
        <v>0</v>
      </c>
      <c r="AG88" s="314">
        <v>3.06</v>
      </c>
      <c r="AH88" s="314"/>
      <c r="AI88" s="314">
        <f t="shared" si="60"/>
        <v>0.05</v>
      </c>
      <c r="AJ88" s="314">
        <f t="shared" si="61"/>
        <v>0</v>
      </c>
      <c r="AK88" s="314">
        <v>0.05</v>
      </c>
      <c r="AL88" s="314"/>
      <c r="AM88" s="314"/>
      <c r="AN88" s="314"/>
      <c r="AO88" s="314"/>
      <c r="AP88" s="314">
        <f t="shared" si="62"/>
        <v>0.0311</v>
      </c>
      <c r="AQ88" s="314">
        <f t="shared" si="62"/>
        <v>0</v>
      </c>
      <c r="AR88" s="314">
        <f t="shared" si="63"/>
        <v>0.1866</v>
      </c>
      <c r="AS88" s="314">
        <f t="shared" si="63"/>
        <v>0</v>
      </c>
      <c r="AU88" s="289"/>
    </row>
    <row r="89" spans="1:47" ht="12.75">
      <c r="A89" s="470"/>
      <c r="B89" s="294"/>
      <c r="C89" s="175" t="s">
        <v>233</v>
      </c>
      <c r="D89" s="314">
        <v>11.848799999999983</v>
      </c>
      <c r="E89" s="314">
        <f t="shared" si="64"/>
        <v>0</v>
      </c>
      <c r="F89" s="314">
        <f t="shared" si="65"/>
        <v>0</v>
      </c>
      <c r="G89" s="329"/>
      <c r="H89" s="329"/>
      <c r="I89" s="329"/>
      <c r="J89" s="329"/>
      <c r="K89" s="314">
        <f t="shared" si="57"/>
        <v>0</v>
      </c>
      <c r="L89" s="314">
        <f t="shared" si="58"/>
        <v>0</v>
      </c>
      <c r="M89" s="314"/>
      <c r="N89" s="314"/>
      <c r="O89" s="314"/>
      <c r="P89" s="314"/>
      <c r="Q89" s="314"/>
      <c r="R89" s="314"/>
      <c r="S89" s="314"/>
      <c r="T89" s="314"/>
      <c r="U89" s="314"/>
      <c r="V89" s="314"/>
      <c r="W89" s="314"/>
      <c r="X89" s="329"/>
      <c r="Y89" s="329"/>
      <c r="Z89" s="314"/>
      <c r="AA89" s="329"/>
      <c r="AB89" s="329"/>
      <c r="AC89" s="329"/>
      <c r="AD89" s="329"/>
      <c r="AE89" s="314">
        <f t="shared" si="59"/>
        <v>0</v>
      </c>
      <c r="AF89" s="314">
        <f t="shared" si="59"/>
        <v>0</v>
      </c>
      <c r="AG89" s="314"/>
      <c r="AH89" s="314"/>
      <c r="AI89" s="314">
        <f t="shared" si="60"/>
        <v>0</v>
      </c>
      <c r="AJ89" s="314">
        <f t="shared" si="61"/>
        <v>0</v>
      </c>
      <c r="AK89" s="314"/>
      <c r="AL89" s="314"/>
      <c r="AM89" s="314"/>
      <c r="AN89" s="314"/>
      <c r="AO89" s="314"/>
      <c r="AP89" s="314">
        <f t="shared" si="62"/>
        <v>0</v>
      </c>
      <c r="AQ89" s="314">
        <f t="shared" si="62"/>
        <v>0</v>
      </c>
      <c r="AR89" s="314">
        <f t="shared" si="63"/>
        <v>0</v>
      </c>
      <c r="AS89" s="314">
        <f t="shared" si="63"/>
        <v>0</v>
      </c>
      <c r="AU89" s="289"/>
    </row>
    <row r="90" spans="1:47" ht="12.75">
      <c r="A90" s="470"/>
      <c r="B90" s="294"/>
      <c r="C90" s="175" t="s">
        <v>234</v>
      </c>
      <c r="D90" s="314">
        <v>17.04179999999999</v>
      </c>
      <c r="E90" s="314">
        <f t="shared" si="64"/>
        <v>54.52139999999999</v>
      </c>
      <c r="F90" s="314">
        <f t="shared" si="65"/>
        <v>54.239999999999995</v>
      </c>
      <c r="G90" s="329"/>
      <c r="H90" s="329"/>
      <c r="I90" s="329">
        <v>6</v>
      </c>
      <c r="J90" s="329"/>
      <c r="K90" s="314">
        <f t="shared" si="57"/>
        <v>54.239999999999995</v>
      </c>
      <c r="L90" s="314">
        <f t="shared" si="58"/>
        <v>0</v>
      </c>
      <c r="M90" s="314">
        <v>6.6</v>
      </c>
      <c r="N90" s="314"/>
      <c r="O90" s="314"/>
      <c r="P90" s="314">
        <v>0.05</v>
      </c>
      <c r="Q90" s="314">
        <v>0.5</v>
      </c>
      <c r="R90" s="314"/>
      <c r="S90" s="314">
        <v>0.28</v>
      </c>
      <c r="T90" s="314"/>
      <c r="U90" s="314">
        <v>1.61</v>
      </c>
      <c r="V90" s="314"/>
      <c r="W90" s="314"/>
      <c r="X90" s="329">
        <v>5</v>
      </c>
      <c r="Y90" s="329"/>
      <c r="Z90" s="314"/>
      <c r="AA90" s="329"/>
      <c r="AB90" s="329"/>
      <c r="AC90" s="329">
        <v>6</v>
      </c>
      <c r="AD90" s="329"/>
      <c r="AE90" s="314">
        <f t="shared" si="59"/>
        <v>4.7369</v>
      </c>
      <c r="AF90" s="314">
        <f t="shared" si="59"/>
        <v>0</v>
      </c>
      <c r="AG90" s="314">
        <v>4.69</v>
      </c>
      <c r="AH90" s="314"/>
      <c r="AI90" s="314">
        <f t="shared" si="60"/>
        <v>0</v>
      </c>
      <c r="AJ90" s="314">
        <f t="shared" si="61"/>
        <v>0</v>
      </c>
      <c r="AK90" s="314"/>
      <c r="AL90" s="314"/>
      <c r="AM90" s="314"/>
      <c r="AN90" s="314"/>
      <c r="AO90" s="314"/>
      <c r="AP90" s="314">
        <f t="shared" si="62"/>
        <v>0.046900000000000004</v>
      </c>
      <c r="AQ90" s="314">
        <f t="shared" si="62"/>
        <v>0</v>
      </c>
      <c r="AR90" s="314">
        <f t="shared" si="63"/>
        <v>0.28140000000000004</v>
      </c>
      <c r="AS90" s="314">
        <f t="shared" si="63"/>
        <v>0</v>
      </c>
      <c r="AU90" s="289"/>
    </row>
    <row r="91" spans="1:47" ht="15.75" customHeight="1">
      <c r="A91" s="470"/>
      <c r="B91" s="294"/>
      <c r="C91" s="175" t="s">
        <v>235</v>
      </c>
      <c r="D91" s="314">
        <v>18</v>
      </c>
      <c r="E91" s="314">
        <f t="shared" si="64"/>
        <v>203.27999999999997</v>
      </c>
      <c r="F91" s="314">
        <f t="shared" si="65"/>
        <v>203.27999999999997</v>
      </c>
      <c r="G91" s="329"/>
      <c r="H91" s="329"/>
      <c r="I91" s="329">
        <v>7</v>
      </c>
      <c r="J91" s="329"/>
      <c r="K91" s="314">
        <f t="shared" si="57"/>
        <v>203.27999999999997</v>
      </c>
      <c r="L91" s="314">
        <f t="shared" si="58"/>
        <v>0</v>
      </c>
      <c r="M91" s="314">
        <v>33</v>
      </c>
      <c r="N91" s="314"/>
      <c r="O91" s="314"/>
      <c r="P91" s="314">
        <v>0.08</v>
      </c>
      <c r="Q91" s="314">
        <v>0.8</v>
      </c>
      <c r="R91" s="314"/>
      <c r="S91" s="314"/>
      <c r="T91" s="314"/>
      <c r="U91" s="314"/>
      <c r="V91" s="314"/>
      <c r="W91" s="314"/>
      <c r="X91" s="329">
        <v>5</v>
      </c>
      <c r="Y91" s="329"/>
      <c r="Z91" s="314"/>
      <c r="AA91" s="329"/>
      <c r="AB91" s="329"/>
      <c r="AC91" s="329"/>
      <c r="AD91" s="329"/>
      <c r="AE91" s="314">
        <f t="shared" si="59"/>
        <v>0</v>
      </c>
      <c r="AF91" s="314">
        <f t="shared" si="59"/>
        <v>0</v>
      </c>
      <c r="AG91" s="314"/>
      <c r="AH91" s="314"/>
      <c r="AI91" s="314">
        <f t="shared" si="60"/>
        <v>0</v>
      </c>
      <c r="AJ91" s="314">
        <f t="shared" si="61"/>
        <v>0</v>
      </c>
      <c r="AK91" s="314"/>
      <c r="AL91" s="314"/>
      <c r="AM91" s="314"/>
      <c r="AN91" s="314"/>
      <c r="AO91" s="314"/>
      <c r="AP91" s="314">
        <f t="shared" si="62"/>
        <v>0</v>
      </c>
      <c r="AQ91" s="314">
        <f t="shared" si="62"/>
        <v>0</v>
      </c>
      <c r="AR91" s="314">
        <f t="shared" si="63"/>
        <v>0</v>
      </c>
      <c r="AS91" s="314">
        <f t="shared" si="63"/>
        <v>0</v>
      </c>
      <c r="AU91" s="289"/>
    </row>
    <row r="92" spans="1:47" s="132" customFormat="1" ht="13.5" customHeight="1">
      <c r="A92" s="468"/>
      <c r="B92" s="325" t="s">
        <v>38</v>
      </c>
      <c r="C92" s="307" t="s">
        <v>39</v>
      </c>
      <c r="D92" s="317">
        <v>6686.750185350001</v>
      </c>
      <c r="E92" s="342">
        <f>E93+E94+E95+E96+E97+E98+E99+E102+E106+E107+E108+E112+E115+E116+E117+E122+E125+E129+E139+E142+E143+E144</f>
        <v>6471.5675877</v>
      </c>
      <c r="F92" s="342">
        <f aca="true" t="shared" si="66" ref="F92:AS92">F93+F94+F95+F96+F97+F98+F99+F102+F106+F107+F108+F112+F115+F116+F117+F122+F125+F129+F139+F142+F143+F144</f>
        <v>6459.5670957</v>
      </c>
      <c r="G92" s="342">
        <f t="shared" si="66"/>
        <v>1711</v>
      </c>
      <c r="H92" s="342">
        <f t="shared" si="66"/>
        <v>250</v>
      </c>
      <c r="I92" s="342">
        <f t="shared" si="66"/>
        <v>1654</v>
      </c>
      <c r="J92" s="342">
        <f t="shared" si="66"/>
        <v>250</v>
      </c>
      <c r="K92" s="342">
        <f>K93+K94+K95+K96+K97+K98+K99+K102+K106+K107+K108+K112+K115+K116+K117+K122+K125+K129+K139+K142+K143+K144</f>
        <v>6230.5619487</v>
      </c>
      <c r="L92" s="342">
        <f t="shared" si="66"/>
        <v>542.235147</v>
      </c>
      <c r="M92" s="342">
        <f t="shared" si="66"/>
        <v>614.3648</v>
      </c>
      <c r="N92" s="342">
        <f t="shared" si="66"/>
        <v>46.2919</v>
      </c>
      <c r="O92" s="342">
        <f t="shared" si="66"/>
        <v>1.38</v>
      </c>
      <c r="P92" s="342">
        <f t="shared" si="66"/>
        <v>31.414</v>
      </c>
      <c r="Q92" s="342">
        <f t="shared" si="66"/>
        <v>5.476522</v>
      </c>
      <c r="R92" s="342">
        <f t="shared" si="66"/>
        <v>1.2980000000000003</v>
      </c>
      <c r="S92" s="342">
        <f t="shared" si="66"/>
        <v>183.77764699999994</v>
      </c>
      <c r="T92" s="342">
        <f t="shared" si="66"/>
        <v>28.56</v>
      </c>
      <c r="U92" s="342">
        <f t="shared" si="66"/>
        <v>153.03602245</v>
      </c>
      <c r="V92" s="342">
        <f t="shared" si="66"/>
        <v>13.0416245</v>
      </c>
      <c r="W92" s="342"/>
      <c r="X92" s="342">
        <f t="shared" si="66"/>
        <v>183</v>
      </c>
      <c r="Y92" s="342">
        <f t="shared" si="66"/>
        <v>94.33</v>
      </c>
      <c r="Z92" s="342">
        <f t="shared" si="66"/>
        <v>104.36999999999999</v>
      </c>
      <c r="AA92" s="342">
        <f t="shared" si="66"/>
        <v>627</v>
      </c>
      <c r="AB92" s="342">
        <f t="shared" si="66"/>
        <v>132</v>
      </c>
      <c r="AC92" s="342">
        <f t="shared" si="66"/>
        <v>294.1997</v>
      </c>
      <c r="AD92" s="342">
        <f t="shared" si="66"/>
        <v>134</v>
      </c>
      <c r="AE92" s="342">
        <f t="shared" si="66"/>
        <v>94.62387000000001</v>
      </c>
      <c r="AF92" s="342">
        <f t="shared" si="66"/>
        <v>107.38441200000001</v>
      </c>
      <c r="AG92" s="342">
        <f t="shared" si="66"/>
        <v>86.088</v>
      </c>
      <c r="AH92" s="342">
        <f t="shared" si="66"/>
        <v>103.944</v>
      </c>
      <c r="AI92" s="342">
        <f t="shared" si="66"/>
        <v>7.599</v>
      </c>
      <c r="AJ92" s="342">
        <f t="shared" si="66"/>
        <v>2.3772</v>
      </c>
      <c r="AK92" s="342">
        <f t="shared" si="66"/>
        <v>5.748</v>
      </c>
      <c r="AL92" s="342">
        <f t="shared" si="66"/>
        <v>1.21</v>
      </c>
      <c r="AM92" s="342">
        <f t="shared" si="66"/>
        <v>3.2452</v>
      </c>
      <c r="AN92" s="342">
        <f t="shared" si="66"/>
        <v>1.28</v>
      </c>
      <c r="AO92" s="342">
        <f t="shared" si="66"/>
        <v>0.03</v>
      </c>
      <c r="AP92" s="342">
        <f t="shared" si="66"/>
        <v>0.93687</v>
      </c>
      <c r="AQ92" s="342">
        <f t="shared" si="66"/>
        <v>1.063212</v>
      </c>
      <c r="AR92" s="342">
        <f t="shared" si="66"/>
        <v>5.621220000000001</v>
      </c>
      <c r="AS92" s="342">
        <f t="shared" si="66"/>
        <v>6.379272</v>
      </c>
      <c r="AU92" s="140"/>
    </row>
    <row r="93" spans="1:47" s="132" customFormat="1" ht="13.5" customHeight="1">
      <c r="A93" s="468"/>
      <c r="B93" s="373"/>
      <c r="C93" s="129" t="s">
        <v>119</v>
      </c>
      <c r="D93" s="317">
        <v>119.64</v>
      </c>
      <c r="E93" s="317">
        <f>K93+L93+AR93+AS93</f>
        <v>127.3278</v>
      </c>
      <c r="F93" s="317">
        <f>K93+L93</f>
        <v>127.23599999999999</v>
      </c>
      <c r="G93" s="330">
        <v>33</v>
      </c>
      <c r="H93" s="330">
        <v>6</v>
      </c>
      <c r="I93" s="330">
        <v>33</v>
      </c>
      <c r="J93" s="330">
        <v>6</v>
      </c>
      <c r="K93" s="317">
        <f>(M93+O93+P93+Q93+S93+U93)*6</f>
        <v>113.64599999999999</v>
      </c>
      <c r="L93" s="317">
        <f>(N93+R93+T93+V93)*6</f>
        <v>13.59</v>
      </c>
      <c r="M93" s="317">
        <v>11.482</v>
      </c>
      <c r="N93" s="317">
        <v>1.53</v>
      </c>
      <c r="O93" s="317"/>
      <c r="P93" s="317">
        <v>1.161</v>
      </c>
      <c r="Q93" s="317">
        <v>0.152</v>
      </c>
      <c r="R93" s="317">
        <v>0</v>
      </c>
      <c r="S93" s="317">
        <v>3.203</v>
      </c>
      <c r="T93" s="317">
        <v>0.383</v>
      </c>
      <c r="U93" s="317">
        <v>2.943</v>
      </c>
      <c r="V93" s="317">
        <v>0.352</v>
      </c>
      <c r="W93" s="317"/>
      <c r="X93" s="330"/>
      <c r="Y93" s="330">
        <v>6</v>
      </c>
      <c r="Z93" s="317">
        <v>2.55</v>
      </c>
      <c r="AA93" s="330">
        <v>33</v>
      </c>
      <c r="AB93" s="330">
        <v>6</v>
      </c>
      <c r="AC93" s="330">
        <v>0</v>
      </c>
      <c r="AD93" s="330">
        <v>6</v>
      </c>
      <c r="AE93" s="317">
        <f aca="true" t="shared" si="67" ref="AE93:AF95">AG93+AI93+AP93</f>
        <v>0</v>
      </c>
      <c r="AF93" s="317">
        <f t="shared" si="67"/>
        <v>1.5453000000000001</v>
      </c>
      <c r="AG93" s="317">
        <v>0</v>
      </c>
      <c r="AH93" s="317">
        <v>1.53</v>
      </c>
      <c r="AI93" s="317">
        <f>AK93+AL93+AN93</f>
        <v>0</v>
      </c>
      <c r="AJ93" s="317">
        <f>AM93+AO93</f>
        <v>0</v>
      </c>
      <c r="AK93" s="317">
        <v>0</v>
      </c>
      <c r="AL93" s="317">
        <v>0</v>
      </c>
      <c r="AM93" s="317">
        <v>0</v>
      </c>
      <c r="AN93" s="317">
        <v>0</v>
      </c>
      <c r="AO93" s="317">
        <v>0</v>
      </c>
      <c r="AP93" s="317">
        <f aca="true" t="shared" si="68" ref="AP93:AQ95">(AG93+AI93)*1%</f>
        <v>0</v>
      </c>
      <c r="AQ93" s="317">
        <f t="shared" si="68"/>
        <v>0.015300000000000001</v>
      </c>
      <c r="AR93" s="317">
        <f aca="true" t="shared" si="69" ref="AR93:AS95">AP93*6</f>
        <v>0</v>
      </c>
      <c r="AS93" s="317">
        <f t="shared" si="69"/>
        <v>0.0918</v>
      </c>
      <c r="AU93" s="140"/>
    </row>
    <row r="94" spans="1:47" s="132" customFormat="1" ht="13.5" customHeight="1">
      <c r="A94" s="468"/>
      <c r="B94" s="372"/>
      <c r="C94" s="129" t="s">
        <v>120</v>
      </c>
      <c r="D94" s="317">
        <v>279</v>
      </c>
      <c r="E94" s="317">
        <f>K94+L94+AR94+AS94</f>
        <v>296.23463999999996</v>
      </c>
      <c r="F94" s="317">
        <f>K94+L94</f>
        <v>294.222</v>
      </c>
      <c r="G94" s="330">
        <v>75</v>
      </c>
      <c r="H94" s="330">
        <v>28</v>
      </c>
      <c r="I94" s="330">
        <v>74</v>
      </c>
      <c r="J94" s="330">
        <v>28</v>
      </c>
      <c r="K94" s="317">
        <f>(M94+O94+P94+Q94+S94+U94)*6</f>
        <v>237.018</v>
      </c>
      <c r="L94" s="317">
        <f>(N94+R94+T94+V94)*6</f>
        <v>57.20399999999999</v>
      </c>
      <c r="M94" s="317">
        <v>25.063</v>
      </c>
      <c r="N94" s="317">
        <v>6.368</v>
      </c>
      <c r="O94" s="317"/>
      <c r="P94" s="317">
        <v>1.755</v>
      </c>
      <c r="Q94" s="317">
        <v>0.295</v>
      </c>
      <c r="R94" s="317">
        <v>0.063</v>
      </c>
      <c r="S94" s="317">
        <v>6.29</v>
      </c>
      <c r="T94" s="317">
        <v>1.592</v>
      </c>
      <c r="U94" s="317">
        <v>6.1</v>
      </c>
      <c r="V94" s="317">
        <v>1.511</v>
      </c>
      <c r="W94" s="317"/>
      <c r="X94" s="330"/>
      <c r="Y94" s="330">
        <v>28</v>
      </c>
      <c r="Z94" s="317">
        <v>26.688</v>
      </c>
      <c r="AA94" s="330">
        <v>75</v>
      </c>
      <c r="AB94" s="330">
        <v>28</v>
      </c>
      <c r="AC94" s="330">
        <v>74</v>
      </c>
      <c r="AD94" s="330">
        <v>28</v>
      </c>
      <c r="AE94" s="317">
        <f t="shared" si="67"/>
        <v>27.38413</v>
      </c>
      <c r="AF94" s="317">
        <f t="shared" si="67"/>
        <v>6.49531</v>
      </c>
      <c r="AG94" s="317">
        <v>25.063</v>
      </c>
      <c r="AH94" s="317">
        <v>6.368</v>
      </c>
      <c r="AI94" s="317">
        <f>AK94+AL94+AN94</f>
        <v>2.05</v>
      </c>
      <c r="AJ94" s="317">
        <f>AM94+AO94</f>
        <v>0.063</v>
      </c>
      <c r="AK94" s="317">
        <v>1.755</v>
      </c>
      <c r="AL94" s="317">
        <v>0.295</v>
      </c>
      <c r="AM94" s="317">
        <v>0.063</v>
      </c>
      <c r="AN94" s="317">
        <v>0</v>
      </c>
      <c r="AO94" s="317">
        <v>0</v>
      </c>
      <c r="AP94" s="317">
        <f t="shared" si="68"/>
        <v>0.27113</v>
      </c>
      <c r="AQ94" s="317">
        <f t="shared" si="68"/>
        <v>0.06431</v>
      </c>
      <c r="AR94" s="317">
        <f t="shared" si="69"/>
        <v>1.62678</v>
      </c>
      <c r="AS94" s="317">
        <f t="shared" si="69"/>
        <v>0.38586000000000004</v>
      </c>
      <c r="AU94" s="140"/>
    </row>
    <row r="95" spans="1:47" s="132" customFormat="1" ht="13.5" customHeight="1">
      <c r="A95" s="468"/>
      <c r="B95" s="325"/>
      <c r="C95" s="129" t="s">
        <v>121</v>
      </c>
      <c r="D95" s="317">
        <v>244.78559999999973</v>
      </c>
      <c r="E95" s="342">
        <f>K95+L95+AR95+AS95</f>
        <v>233.1252</v>
      </c>
      <c r="F95" s="317">
        <f>K95+L95</f>
        <v>233.04000000000002</v>
      </c>
      <c r="G95" s="330">
        <v>65</v>
      </c>
      <c r="H95" s="330">
        <v>6</v>
      </c>
      <c r="I95" s="330">
        <v>65</v>
      </c>
      <c r="J95" s="330">
        <v>6</v>
      </c>
      <c r="K95" s="342">
        <f>(M95+O95+P95+Q95+S95+U95)*6</f>
        <v>223.8</v>
      </c>
      <c r="L95" s="317">
        <f>(N95+R95+T95+V95)*6</f>
        <v>9.24</v>
      </c>
      <c r="M95" s="317">
        <v>22.89</v>
      </c>
      <c r="N95" s="317">
        <v>1.22</v>
      </c>
      <c r="O95" s="317">
        <v>0</v>
      </c>
      <c r="P95" s="317">
        <v>0.87</v>
      </c>
      <c r="Q95" s="317">
        <v>0.78</v>
      </c>
      <c r="R95" s="317">
        <v>0.02</v>
      </c>
      <c r="S95" s="317">
        <v>6.87</v>
      </c>
      <c r="T95" s="317">
        <v>0</v>
      </c>
      <c r="U95" s="317">
        <v>5.89</v>
      </c>
      <c r="V95" s="317">
        <v>0.3</v>
      </c>
      <c r="W95" s="317"/>
      <c r="X95" s="330">
        <v>64</v>
      </c>
      <c r="Y95" s="330">
        <v>6</v>
      </c>
      <c r="Z95" s="317">
        <v>0.15</v>
      </c>
      <c r="AA95" s="330">
        <v>65</v>
      </c>
      <c r="AB95" s="330">
        <v>6</v>
      </c>
      <c r="AC95" s="330">
        <v>65</v>
      </c>
      <c r="AD95" s="330">
        <v>6</v>
      </c>
      <c r="AE95" s="317">
        <f t="shared" si="67"/>
        <v>0</v>
      </c>
      <c r="AF95" s="317">
        <f t="shared" si="67"/>
        <v>1.4342</v>
      </c>
      <c r="AG95" s="317">
        <v>0</v>
      </c>
      <c r="AH95" s="317">
        <v>1.22</v>
      </c>
      <c r="AI95" s="317">
        <f>AK95+AL95+AN95</f>
        <v>0</v>
      </c>
      <c r="AJ95" s="317">
        <f>AM95+AO95</f>
        <v>0.2</v>
      </c>
      <c r="AK95" s="317">
        <v>0</v>
      </c>
      <c r="AL95" s="317">
        <v>0</v>
      </c>
      <c r="AM95" s="317">
        <v>0.2</v>
      </c>
      <c r="AN95" s="317">
        <v>0</v>
      </c>
      <c r="AO95" s="317">
        <v>0</v>
      </c>
      <c r="AP95" s="317">
        <f t="shared" si="68"/>
        <v>0</v>
      </c>
      <c r="AQ95" s="314">
        <f t="shared" si="68"/>
        <v>0.014199999999999999</v>
      </c>
      <c r="AR95" s="314">
        <f t="shared" si="69"/>
        <v>0</v>
      </c>
      <c r="AS95" s="314">
        <f t="shared" si="69"/>
        <v>0.0852</v>
      </c>
      <c r="AU95" s="140"/>
    </row>
    <row r="96" spans="1:47" s="450" customFormat="1" ht="13.5" customHeight="1">
      <c r="A96" s="473"/>
      <c r="B96" s="447"/>
      <c r="C96" s="448" t="s">
        <v>122</v>
      </c>
      <c r="D96" s="443">
        <v>198.42600000000002</v>
      </c>
      <c r="E96" s="342">
        <f>K96+L96+AR96+AS96</f>
        <v>206.45399999999998</v>
      </c>
      <c r="F96" s="317">
        <f>K96+L96</f>
        <v>206.39999999999998</v>
      </c>
      <c r="G96" s="330">
        <v>69</v>
      </c>
      <c r="H96" s="330">
        <v>3</v>
      </c>
      <c r="I96" s="330">
        <v>64</v>
      </c>
      <c r="J96" s="330">
        <v>3</v>
      </c>
      <c r="K96" s="342">
        <f>(M96+O96+P96+Q96+S96+U96)*6</f>
        <v>197.39999999999998</v>
      </c>
      <c r="L96" s="317">
        <f>(N96+R96+T96+V96)*6</f>
        <v>9</v>
      </c>
      <c r="M96" s="317">
        <v>21</v>
      </c>
      <c r="N96" s="317">
        <v>0.9</v>
      </c>
      <c r="O96" s="317">
        <v>0</v>
      </c>
      <c r="P96" s="317">
        <v>1</v>
      </c>
      <c r="Q96" s="317">
        <v>0.1</v>
      </c>
      <c r="R96" s="317">
        <v>0</v>
      </c>
      <c r="S96" s="317">
        <v>5.9</v>
      </c>
      <c r="T96" s="317">
        <v>0.3</v>
      </c>
      <c r="U96" s="317">
        <v>4.9</v>
      </c>
      <c r="V96" s="317">
        <v>0.3</v>
      </c>
      <c r="W96" s="317"/>
      <c r="X96" s="330">
        <v>0</v>
      </c>
      <c r="Y96" s="330">
        <v>3</v>
      </c>
      <c r="Z96" s="317"/>
      <c r="AA96" s="330"/>
      <c r="AB96" s="330"/>
      <c r="AC96" s="330"/>
      <c r="AD96" s="330">
        <v>3</v>
      </c>
      <c r="AE96" s="317">
        <f>AG96+AI96+AP96</f>
        <v>0</v>
      </c>
      <c r="AF96" s="317">
        <f>AH96+AJ96+AQ96</f>
        <v>0.909</v>
      </c>
      <c r="AG96" s="317">
        <v>0</v>
      </c>
      <c r="AH96" s="317">
        <v>0.9</v>
      </c>
      <c r="AI96" s="317">
        <f>AK96+AL96+AN96</f>
        <v>0</v>
      </c>
      <c r="AJ96" s="317">
        <f>AM96+AO96</f>
        <v>0</v>
      </c>
      <c r="AK96" s="317">
        <v>0</v>
      </c>
      <c r="AL96" s="317">
        <v>0</v>
      </c>
      <c r="AM96" s="317">
        <v>0</v>
      </c>
      <c r="AN96" s="317">
        <v>0</v>
      </c>
      <c r="AO96" s="317">
        <v>0</v>
      </c>
      <c r="AP96" s="317">
        <f>(AG96+AI96)*1%</f>
        <v>0</v>
      </c>
      <c r="AQ96" s="314">
        <f>(AH96+AJ96)*1%</f>
        <v>0.009000000000000001</v>
      </c>
      <c r="AR96" s="314">
        <f>AP96*6</f>
        <v>0</v>
      </c>
      <c r="AS96" s="314">
        <f>AQ96*6</f>
        <v>0.054000000000000006</v>
      </c>
      <c r="AU96" s="446"/>
    </row>
    <row r="97" spans="1:47" s="453" customFormat="1" ht="13.5" customHeight="1">
      <c r="A97" s="473"/>
      <c r="B97" s="447"/>
      <c r="C97" s="448" t="s">
        <v>123</v>
      </c>
      <c r="D97" s="443">
        <v>163.2239999999997</v>
      </c>
      <c r="E97" s="443"/>
      <c r="F97" s="443"/>
      <c r="G97" s="449"/>
      <c r="H97" s="449"/>
      <c r="I97" s="449"/>
      <c r="J97" s="449"/>
      <c r="K97" s="443">
        <f>+SUM(M96:U96)*6</f>
        <v>204.60000000000002</v>
      </c>
      <c r="L97" s="443"/>
      <c r="M97" s="443"/>
      <c r="N97" s="443"/>
      <c r="O97" s="443"/>
      <c r="P97" s="443"/>
      <c r="Q97" s="443"/>
      <c r="R97" s="443"/>
      <c r="S97" s="443"/>
      <c r="T97" s="443"/>
      <c r="U97" s="443"/>
      <c r="V97" s="443"/>
      <c r="W97" s="443"/>
      <c r="X97" s="449"/>
      <c r="Y97" s="449"/>
      <c r="Z97" s="443"/>
      <c r="AA97" s="449"/>
      <c r="AB97" s="449"/>
      <c r="AC97" s="449"/>
      <c r="AD97" s="449"/>
      <c r="AE97" s="443"/>
      <c r="AF97" s="443"/>
      <c r="AG97" s="443"/>
      <c r="AH97" s="443"/>
      <c r="AI97" s="443"/>
      <c r="AJ97" s="443"/>
      <c r="AK97" s="443"/>
      <c r="AL97" s="443"/>
      <c r="AM97" s="443"/>
      <c r="AN97" s="443"/>
      <c r="AO97" s="443"/>
      <c r="AP97" s="443"/>
      <c r="AQ97" s="443"/>
      <c r="AR97" s="443"/>
      <c r="AS97" s="443"/>
      <c r="AU97" s="454"/>
    </row>
    <row r="98" spans="1:47" s="69" customFormat="1" ht="33.75" customHeight="1">
      <c r="A98" s="474" t="s">
        <v>440</v>
      </c>
      <c r="B98" s="455"/>
      <c r="C98" s="93" t="s">
        <v>124</v>
      </c>
      <c r="D98" s="397">
        <v>185.322</v>
      </c>
      <c r="E98" s="397">
        <f>K98+L98+AR98+AS98</f>
        <v>0.087</v>
      </c>
      <c r="F98" s="397">
        <f>K98+L98</f>
        <v>0</v>
      </c>
      <c r="G98" s="378"/>
      <c r="H98" s="378"/>
      <c r="I98" s="378">
        <v>0</v>
      </c>
      <c r="J98" s="378">
        <v>0</v>
      </c>
      <c r="K98" s="397">
        <f>(M98+O98+P98+Q98+S98+U98)*6</f>
        <v>0</v>
      </c>
      <c r="L98" s="397">
        <f>(N98+R98+T98+V98)*6</f>
        <v>0</v>
      </c>
      <c r="M98" s="397">
        <v>0</v>
      </c>
      <c r="N98" s="397">
        <v>0</v>
      </c>
      <c r="O98" s="397"/>
      <c r="P98" s="397">
        <v>0</v>
      </c>
      <c r="Q98" s="397">
        <v>0</v>
      </c>
      <c r="R98" s="397">
        <v>0</v>
      </c>
      <c r="S98" s="397">
        <v>0</v>
      </c>
      <c r="T98" s="397">
        <v>0</v>
      </c>
      <c r="U98" s="397">
        <v>0</v>
      </c>
      <c r="V98" s="397">
        <v>0</v>
      </c>
      <c r="W98" s="397" t="s">
        <v>590</v>
      </c>
      <c r="X98" s="378"/>
      <c r="Y98" s="378"/>
      <c r="Z98" s="397"/>
      <c r="AA98" s="378">
        <v>72</v>
      </c>
      <c r="AB98" s="378">
        <v>7</v>
      </c>
      <c r="AC98" s="378"/>
      <c r="AD98" s="378">
        <v>7</v>
      </c>
      <c r="AE98" s="397">
        <f>AG98+AI98+AP98</f>
        <v>0</v>
      </c>
      <c r="AF98" s="397">
        <f>AH98+AJ98+AQ98</f>
        <v>1.4645</v>
      </c>
      <c r="AG98" s="397"/>
      <c r="AH98" s="397">
        <v>1.45</v>
      </c>
      <c r="AI98" s="397">
        <f>AK98+AL98+AN98</f>
        <v>0</v>
      </c>
      <c r="AJ98" s="397">
        <f>AM98+AO98</f>
        <v>0</v>
      </c>
      <c r="AK98" s="397"/>
      <c r="AL98" s="397"/>
      <c r="AM98" s="397"/>
      <c r="AN98" s="397"/>
      <c r="AO98" s="397"/>
      <c r="AP98" s="397">
        <f>(AG98+AI98)*1%</f>
        <v>0</v>
      </c>
      <c r="AQ98" s="397">
        <f>(AH98+AJ98)*1%</f>
        <v>0.014499999999999999</v>
      </c>
      <c r="AR98" s="397">
        <f>AP98*6</f>
        <v>0</v>
      </c>
      <c r="AS98" s="397">
        <f>AQ98*6</f>
        <v>0.087</v>
      </c>
      <c r="AU98" s="398"/>
    </row>
    <row r="99" spans="1:47" s="132" customFormat="1" ht="13.5" customHeight="1">
      <c r="A99" s="468"/>
      <c r="B99" s="325"/>
      <c r="C99" s="129" t="s">
        <v>125</v>
      </c>
      <c r="D99" s="317">
        <v>717.7500000000007</v>
      </c>
      <c r="E99" s="342">
        <f>SUM(E100:E101)</f>
        <v>709.3799999999999</v>
      </c>
      <c r="F99" s="342">
        <f aca="true" t="shared" si="70" ref="F99:AS99">SUM(F100:F101)</f>
        <v>707.376</v>
      </c>
      <c r="G99" s="342">
        <f t="shared" si="70"/>
        <v>194</v>
      </c>
      <c r="H99" s="342">
        <f t="shared" si="70"/>
        <v>6</v>
      </c>
      <c r="I99" s="342">
        <f t="shared" si="70"/>
        <v>194</v>
      </c>
      <c r="J99" s="342">
        <f t="shared" si="70"/>
        <v>6</v>
      </c>
      <c r="K99" s="342">
        <f t="shared" si="70"/>
        <v>582.024</v>
      </c>
      <c r="L99" s="342">
        <f t="shared" si="70"/>
        <v>125.352</v>
      </c>
      <c r="M99" s="342">
        <f t="shared" si="70"/>
        <v>65.041</v>
      </c>
      <c r="N99" s="342">
        <f t="shared" si="70"/>
        <v>1.893</v>
      </c>
      <c r="O99" s="342">
        <f t="shared" si="70"/>
        <v>0.56</v>
      </c>
      <c r="P99" s="342">
        <f t="shared" si="70"/>
        <v>2.2560000000000002</v>
      </c>
      <c r="Q99" s="342">
        <f t="shared" si="70"/>
        <v>0.06</v>
      </c>
      <c r="R99" s="342">
        <f t="shared" si="70"/>
        <v>0.867</v>
      </c>
      <c r="S99" s="342">
        <f t="shared" si="70"/>
        <v>12.889</v>
      </c>
      <c r="T99" s="342">
        <f t="shared" si="70"/>
        <v>17.649</v>
      </c>
      <c r="U99" s="342">
        <f t="shared" si="70"/>
        <v>16.198</v>
      </c>
      <c r="V99" s="342">
        <f t="shared" si="70"/>
        <v>0.483</v>
      </c>
      <c r="W99" s="342">
        <f t="shared" si="70"/>
        <v>0</v>
      </c>
      <c r="X99" s="342">
        <f t="shared" si="70"/>
        <v>59</v>
      </c>
      <c r="Y99" s="342">
        <f t="shared" si="70"/>
        <v>6</v>
      </c>
      <c r="Z99" s="342">
        <f t="shared" si="70"/>
        <v>2.7</v>
      </c>
      <c r="AA99" s="342">
        <f t="shared" si="70"/>
        <v>61</v>
      </c>
      <c r="AB99" s="342">
        <f t="shared" si="70"/>
        <v>7</v>
      </c>
      <c r="AC99" s="342">
        <f t="shared" si="70"/>
        <v>59</v>
      </c>
      <c r="AD99" s="342">
        <f t="shared" si="70"/>
        <v>6</v>
      </c>
      <c r="AE99" s="342">
        <f t="shared" si="70"/>
        <v>19.6748</v>
      </c>
      <c r="AF99" s="342">
        <f t="shared" si="70"/>
        <v>14.0592</v>
      </c>
      <c r="AG99" s="342">
        <f t="shared" si="70"/>
        <v>17.94</v>
      </c>
      <c r="AH99" s="342">
        <f t="shared" si="70"/>
        <v>13.25</v>
      </c>
      <c r="AI99" s="342">
        <f t="shared" si="70"/>
        <v>1.54</v>
      </c>
      <c r="AJ99" s="342">
        <f t="shared" si="70"/>
        <v>0.67</v>
      </c>
      <c r="AK99" s="342">
        <f t="shared" si="70"/>
        <v>0.94</v>
      </c>
      <c r="AL99" s="342">
        <f t="shared" si="70"/>
        <v>0.6</v>
      </c>
      <c r="AM99" s="342">
        <f t="shared" si="70"/>
        <v>0.67</v>
      </c>
      <c r="AN99" s="342">
        <f t="shared" si="70"/>
        <v>0</v>
      </c>
      <c r="AO99" s="342">
        <f t="shared" si="70"/>
        <v>0</v>
      </c>
      <c r="AP99" s="342">
        <f t="shared" si="70"/>
        <v>0.1948</v>
      </c>
      <c r="AQ99" s="342">
        <f t="shared" si="70"/>
        <v>0.13920000000000002</v>
      </c>
      <c r="AR99" s="342">
        <f t="shared" si="70"/>
        <v>1.1688</v>
      </c>
      <c r="AS99" s="342">
        <f t="shared" si="70"/>
        <v>0.8352</v>
      </c>
      <c r="AU99" s="140"/>
    </row>
    <row r="100" spans="1:47" ht="13.5" customHeight="1">
      <c r="A100" s="284"/>
      <c r="B100" s="294"/>
      <c r="C100" s="175" t="s">
        <v>286</v>
      </c>
      <c r="D100" s="314">
        <v>184.86000000000035</v>
      </c>
      <c r="E100" s="314">
        <f>K100+L100+AR100+AS100</f>
        <v>186.837</v>
      </c>
      <c r="F100" s="314">
        <f>K100+L100</f>
        <v>185.55599999999998</v>
      </c>
      <c r="G100" s="329">
        <v>59</v>
      </c>
      <c r="H100" s="329">
        <v>3</v>
      </c>
      <c r="I100" s="329">
        <v>59</v>
      </c>
      <c r="J100" s="329">
        <v>3</v>
      </c>
      <c r="K100" s="314">
        <f>(M100+O100+P100+Q100+S100+U100)*6</f>
        <v>145.64399999999998</v>
      </c>
      <c r="L100" s="314">
        <f>(N100+R100+T100+V100)*6</f>
        <v>39.912</v>
      </c>
      <c r="M100" s="314">
        <v>17.941</v>
      </c>
      <c r="N100" s="314">
        <v>1.113</v>
      </c>
      <c r="O100" s="314">
        <v>0</v>
      </c>
      <c r="P100" s="314">
        <v>0.936</v>
      </c>
      <c r="Q100" s="314">
        <v>0.06</v>
      </c>
      <c r="R100" s="314">
        <v>0.067</v>
      </c>
      <c r="S100" s="314">
        <f>0.639</f>
        <v>0.639</v>
      </c>
      <c r="T100" s="314">
        <v>5.189</v>
      </c>
      <c r="U100" s="314">
        <v>4.698</v>
      </c>
      <c r="V100" s="314">
        <v>0.283</v>
      </c>
      <c r="W100" s="314"/>
      <c r="X100" s="329">
        <v>59</v>
      </c>
      <c r="Y100" s="329">
        <v>3</v>
      </c>
      <c r="Z100" s="314"/>
      <c r="AA100" s="329">
        <v>61</v>
      </c>
      <c r="AB100" s="329">
        <v>4</v>
      </c>
      <c r="AC100" s="329">
        <v>59</v>
      </c>
      <c r="AD100" s="329">
        <v>3</v>
      </c>
      <c r="AE100" s="314">
        <f>AG100+AI100+AP100</f>
        <v>19.6748</v>
      </c>
      <c r="AF100" s="314">
        <f>AH100+AJ100+AQ100</f>
        <v>1.8887</v>
      </c>
      <c r="AG100" s="314">
        <v>17.94</v>
      </c>
      <c r="AH100" s="314">
        <v>1.2</v>
      </c>
      <c r="AI100" s="314">
        <f>AK100+AL100+AN100</f>
        <v>1.54</v>
      </c>
      <c r="AJ100" s="314">
        <f>AM100+AO100</f>
        <v>0.67</v>
      </c>
      <c r="AK100" s="314">
        <v>0.94</v>
      </c>
      <c r="AL100" s="314">
        <v>0.6</v>
      </c>
      <c r="AM100" s="314">
        <v>0.67</v>
      </c>
      <c r="AN100" s="314"/>
      <c r="AO100" s="314"/>
      <c r="AP100" s="314">
        <f>(AG100+AI100)*1%</f>
        <v>0.1948</v>
      </c>
      <c r="AQ100" s="314">
        <f>(AH100+AJ100)*1%</f>
        <v>0.0187</v>
      </c>
      <c r="AR100" s="314">
        <f>AP100*6</f>
        <v>1.1688</v>
      </c>
      <c r="AS100" s="314">
        <f>AQ100*6</f>
        <v>0.11220000000000001</v>
      </c>
      <c r="AU100" s="289"/>
    </row>
    <row r="101" spans="1:47" ht="13.5" customHeight="1">
      <c r="A101" s="470"/>
      <c r="B101" s="294"/>
      <c r="C101" s="175" t="s">
        <v>300</v>
      </c>
      <c r="D101" s="314">
        <v>532.8900000000003</v>
      </c>
      <c r="E101" s="314">
        <f>K101+L101+AR101+AS101</f>
        <v>522.5429999999999</v>
      </c>
      <c r="F101" s="314">
        <f>K101+L101</f>
        <v>521.8199999999999</v>
      </c>
      <c r="G101" s="329">
        <v>135</v>
      </c>
      <c r="H101" s="329">
        <v>3</v>
      </c>
      <c r="I101" s="329">
        <v>135</v>
      </c>
      <c r="J101" s="329">
        <v>3</v>
      </c>
      <c r="K101" s="314">
        <f>(M101+O101+P101+Q101+S101+U101)*6</f>
        <v>436.38</v>
      </c>
      <c r="L101" s="314">
        <f>(N101+R101+T101+V101)*6</f>
        <v>85.44</v>
      </c>
      <c r="M101" s="314">
        <v>47.1</v>
      </c>
      <c r="N101" s="314">
        <v>0.78</v>
      </c>
      <c r="O101" s="314">
        <v>0.56</v>
      </c>
      <c r="P101" s="314">
        <v>1.32</v>
      </c>
      <c r="Q101" s="314">
        <v>0</v>
      </c>
      <c r="R101" s="314">
        <v>0.8</v>
      </c>
      <c r="S101" s="314">
        <v>12.25</v>
      </c>
      <c r="T101" s="314">
        <v>12.46</v>
      </c>
      <c r="U101" s="314">
        <v>11.5</v>
      </c>
      <c r="V101" s="314">
        <v>0.2</v>
      </c>
      <c r="W101" s="314"/>
      <c r="X101" s="329"/>
      <c r="Y101" s="329">
        <v>3</v>
      </c>
      <c r="Z101" s="314">
        <v>2.7</v>
      </c>
      <c r="AA101" s="329">
        <v>0</v>
      </c>
      <c r="AB101" s="329">
        <v>3</v>
      </c>
      <c r="AC101" s="329">
        <v>0</v>
      </c>
      <c r="AD101" s="329">
        <v>3</v>
      </c>
      <c r="AE101" s="314">
        <f>AG101+AI101+AP101</f>
        <v>0</v>
      </c>
      <c r="AF101" s="314">
        <f>AH101+AJ101+AQ101</f>
        <v>12.1705</v>
      </c>
      <c r="AG101" s="314"/>
      <c r="AH101" s="314">
        <v>12.05</v>
      </c>
      <c r="AI101" s="314">
        <f>AK101+AL101+AN101</f>
        <v>0</v>
      </c>
      <c r="AJ101" s="314">
        <f>AM101+AO101</f>
        <v>0</v>
      </c>
      <c r="AK101" s="314"/>
      <c r="AL101" s="314"/>
      <c r="AM101" s="314"/>
      <c r="AN101" s="314"/>
      <c r="AO101" s="314"/>
      <c r="AP101" s="314">
        <f>(AG101+AI101)*1%</f>
        <v>0</v>
      </c>
      <c r="AQ101" s="314">
        <f>(AH101+AJ101)*1%</f>
        <v>0.12050000000000001</v>
      </c>
      <c r="AR101" s="314">
        <f>AP101*6</f>
        <v>0</v>
      </c>
      <c r="AS101" s="314">
        <f>AQ101*6</f>
        <v>0.7230000000000001</v>
      </c>
      <c r="AU101" s="289"/>
    </row>
    <row r="102" spans="1:47" s="132" customFormat="1" ht="13.5" customHeight="1">
      <c r="A102" s="468"/>
      <c r="B102" s="325"/>
      <c r="C102" s="129" t="s">
        <v>126</v>
      </c>
      <c r="D102" s="317">
        <v>345.14399999999966</v>
      </c>
      <c r="E102" s="342">
        <f>SUM(E103:E105)</f>
        <v>342.1418898</v>
      </c>
      <c r="F102" s="342">
        <f aca="true" t="shared" si="71" ref="F102:AS102">SUM(F103:F105)</f>
        <v>342.1280898</v>
      </c>
      <c r="G102" s="342">
        <f t="shared" si="71"/>
        <v>117</v>
      </c>
      <c r="H102" s="342">
        <f t="shared" si="71"/>
        <v>4</v>
      </c>
      <c r="I102" s="342">
        <f t="shared" si="71"/>
        <v>108</v>
      </c>
      <c r="J102" s="342">
        <f t="shared" si="71"/>
        <v>4</v>
      </c>
      <c r="K102" s="342">
        <f t="shared" si="71"/>
        <v>322.5267198</v>
      </c>
      <c r="L102" s="342">
        <f t="shared" si="71"/>
        <v>19.601369999999996</v>
      </c>
      <c r="M102" s="342">
        <f t="shared" si="71"/>
        <v>34.098</v>
      </c>
      <c r="N102" s="342">
        <f t="shared" si="71"/>
        <v>0.9222000000000001</v>
      </c>
      <c r="O102" s="342">
        <f t="shared" si="71"/>
        <v>0</v>
      </c>
      <c r="P102" s="342">
        <f t="shared" si="71"/>
        <v>1.4580000000000002</v>
      </c>
      <c r="Q102" s="342">
        <f t="shared" si="71"/>
        <v>0.239148</v>
      </c>
      <c r="R102" s="342">
        <f t="shared" si="71"/>
        <v>0</v>
      </c>
      <c r="S102" s="342">
        <f t="shared" si="71"/>
        <v>9.906347</v>
      </c>
      <c r="T102" s="342">
        <f t="shared" si="71"/>
        <v>2.1369999999999996</v>
      </c>
      <c r="U102" s="342">
        <f t="shared" si="71"/>
        <v>8.052958300000002</v>
      </c>
      <c r="V102" s="342">
        <f t="shared" si="71"/>
        <v>0.20769500000000002</v>
      </c>
      <c r="W102" s="342">
        <f t="shared" si="71"/>
        <v>0</v>
      </c>
      <c r="X102" s="342">
        <f t="shared" si="71"/>
        <v>0</v>
      </c>
      <c r="Y102" s="342">
        <f t="shared" si="71"/>
        <v>0</v>
      </c>
      <c r="Z102" s="342">
        <f t="shared" si="71"/>
        <v>0</v>
      </c>
      <c r="AA102" s="342">
        <f t="shared" si="71"/>
        <v>0</v>
      </c>
      <c r="AB102" s="342">
        <f t="shared" si="71"/>
        <v>0</v>
      </c>
      <c r="AC102" s="342">
        <f t="shared" si="71"/>
        <v>0</v>
      </c>
      <c r="AD102" s="342">
        <f t="shared" si="71"/>
        <v>0</v>
      </c>
      <c r="AE102" s="342">
        <f t="shared" si="71"/>
        <v>0.2323</v>
      </c>
      <c r="AF102" s="342">
        <f t="shared" si="71"/>
        <v>0</v>
      </c>
      <c r="AG102" s="342">
        <f t="shared" si="71"/>
        <v>0</v>
      </c>
      <c r="AH102" s="342">
        <f t="shared" si="71"/>
        <v>0</v>
      </c>
      <c r="AI102" s="342">
        <f t="shared" si="71"/>
        <v>0.23</v>
      </c>
      <c r="AJ102" s="342">
        <f t="shared" si="71"/>
        <v>0</v>
      </c>
      <c r="AK102" s="342">
        <f t="shared" si="71"/>
        <v>0.6900000000000001</v>
      </c>
      <c r="AL102" s="342">
        <f t="shared" si="71"/>
        <v>0</v>
      </c>
      <c r="AM102" s="342">
        <f t="shared" si="71"/>
        <v>0</v>
      </c>
      <c r="AN102" s="342">
        <f t="shared" si="71"/>
        <v>0</v>
      </c>
      <c r="AO102" s="342">
        <f t="shared" si="71"/>
        <v>0</v>
      </c>
      <c r="AP102" s="342">
        <f t="shared" si="71"/>
        <v>0.0023</v>
      </c>
      <c r="AQ102" s="342">
        <f t="shared" si="71"/>
        <v>0</v>
      </c>
      <c r="AR102" s="342">
        <f t="shared" si="71"/>
        <v>0.0138</v>
      </c>
      <c r="AS102" s="342">
        <f t="shared" si="71"/>
        <v>0</v>
      </c>
      <c r="AU102" s="140"/>
    </row>
    <row r="103" spans="1:47" s="256" customFormat="1" ht="28.5" customHeight="1">
      <c r="A103" s="475"/>
      <c r="B103" s="360"/>
      <c r="C103" s="428" t="s">
        <v>463</v>
      </c>
      <c r="D103" s="338">
        <v>136.304035</v>
      </c>
      <c r="E103" s="338">
        <f aca="true" t="shared" si="72" ref="E103:E111">K103+L103+AR103+AS103</f>
        <v>210.3627498</v>
      </c>
      <c r="F103" s="338">
        <f aca="true" t="shared" si="73" ref="F103:F111">K103+L103</f>
        <v>210.3627498</v>
      </c>
      <c r="G103" s="339">
        <v>71</v>
      </c>
      <c r="H103" s="339">
        <v>3</v>
      </c>
      <c r="I103" s="339">
        <v>62</v>
      </c>
      <c r="J103" s="339">
        <v>3</v>
      </c>
      <c r="K103" s="338">
        <f aca="true" t="shared" si="74" ref="K103:K111">(M103+O103+P103+Q103+S103+U103)*6</f>
        <v>192.24937979999999</v>
      </c>
      <c r="L103" s="338">
        <f aca="true" t="shared" si="75" ref="L103:L111">(N103+R103+T103+V103)*6</f>
        <v>18.113369999999996</v>
      </c>
      <c r="M103" s="338">
        <v>20.0556</v>
      </c>
      <c r="N103" s="338">
        <v>0.7542000000000001</v>
      </c>
      <c r="O103" s="338">
        <v>0</v>
      </c>
      <c r="P103" s="338">
        <v>0.81</v>
      </c>
      <c r="Q103" s="338">
        <v>0.239148</v>
      </c>
      <c r="R103" s="338">
        <v>0</v>
      </c>
      <c r="S103" s="338">
        <v>6.188246999999999</v>
      </c>
      <c r="T103" s="338">
        <v>2.0949999999999998</v>
      </c>
      <c r="U103" s="338">
        <v>4.748568300000001</v>
      </c>
      <c r="V103" s="338">
        <v>0.169695</v>
      </c>
      <c r="W103" s="338"/>
      <c r="X103" s="339">
        <v>0</v>
      </c>
      <c r="Y103" s="339">
        <v>0</v>
      </c>
      <c r="Z103" s="338">
        <v>0</v>
      </c>
      <c r="AA103" s="339">
        <v>0</v>
      </c>
      <c r="AB103" s="339">
        <v>0</v>
      </c>
      <c r="AC103" s="339">
        <v>0</v>
      </c>
      <c r="AD103" s="339">
        <v>0</v>
      </c>
      <c r="AE103" s="338">
        <f aca="true" t="shared" si="76" ref="AE103:AF106">AG103+AI103+AP103</f>
        <v>0</v>
      </c>
      <c r="AF103" s="338">
        <f t="shared" si="76"/>
        <v>0</v>
      </c>
      <c r="AG103" s="338">
        <v>0</v>
      </c>
      <c r="AH103" s="338">
        <v>0</v>
      </c>
      <c r="AI103" s="338">
        <v>0</v>
      </c>
      <c r="AJ103" s="338">
        <f aca="true" t="shared" si="77" ref="AJ103:AJ108">AM103+AO103</f>
        <v>0</v>
      </c>
      <c r="AK103" s="338">
        <v>0.23</v>
      </c>
      <c r="AL103" s="338">
        <v>0</v>
      </c>
      <c r="AM103" s="338">
        <v>0</v>
      </c>
      <c r="AN103" s="338">
        <v>0</v>
      </c>
      <c r="AO103" s="338">
        <v>0</v>
      </c>
      <c r="AP103" s="338">
        <f aca="true" t="shared" si="78" ref="AP103:AQ106">(AG103+AI103)*1%</f>
        <v>0</v>
      </c>
      <c r="AQ103" s="338">
        <f t="shared" si="78"/>
        <v>0</v>
      </c>
      <c r="AR103" s="338">
        <f aca="true" t="shared" si="79" ref="AR103:AS106">AP103*6</f>
        <v>0</v>
      </c>
      <c r="AS103" s="338">
        <f t="shared" si="79"/>
        <v>0</v>
      </c>
      <c r="AU103" s="257"/>
    </row>
    <row r="104" spans="1:47" s="256" customFormat="1" ht="20.25" customHeight="1">
      <c r="A104" s="475"/>
      <c r="B104" s="360"/>
      <c r="C104" s="428" t="s">
        <v>464</v>
      </c>
      <c r="D104" s="338">
        <v>95.59</v>
      </c>
      <c r="E104" s="338">
        <f t="shared" si="72"/>
        <v>70.518</v>
      </c>
      <c r="F104" s="338">
        <f t="shared" si="73"/>
        <v>70.518</v>
      </c>
      <c r="G104" s="339">
        <v>25</v>
      </c>
      <c r="H104" s="339">
        <v>1</v>
      </c>
      <c r="I104" s="339">
        <v>25</v>
      </c>
      <c r="J104" s="339">
        <v>1</v>
      </c>
      <c r="K104" s="338">
        <f t="shared" si="74"/>
        <v>69.03</v>
      </c>
      <c r="L104" s="338">
        <f t="shared" si="75"/>
        <v>1.4880000000000002</v>
      </c>
      <c r="M104" s="338">
        <v>7.44</v>
      </c>
      <c r="N104" s="338">
        <v>0.168</v>
      </c>
      <c r="O104" s="338">
        <v>0</v>
      </c>
      <c r="P104" s="338">
        <v>0.342</v>
      </c>
      <c r="Q104" s="338">
        <v>0</v>
      </c>
      <c r="R104" s="338">
        <v>0</v>
      </c>
      <c r="S104" s="338">
        <v>1.973</v>
      </c>
      <c r="T104" s="338">
        <v>0.042</v>
      </c>
      <c r="U104" s="338">
        <v>1.75</v>
      </c>
      <c r="V104" s="338">
        <v>0.038</v>
      </c>
      <c r="W104" s="338"/>
      <c r="X104" s="339">
        <v>0</v>
      </c>
      <c r="Y104" s="339">
        <v>0</v>
      </c>
      <c r="Z104" s="338">
        <v>0</v>
      </c>
      <c r="AA104" s="339">
        <v>0</v>
      </c>
      <c r="AB104" s="339">
        <v>0</v>
      </c>
      <c r="AC104" s="339">
        <v>0</v>
      </c>
      <c r="AD104" s="339">
        <v>0</v>
      </c>
      <c r="AE104" s="338">
        <f t="shared" si="76"/>
        <v>0</v>
      </c>
      <c r="AF104" s="338">
        <f t="shared" si="76"/>
        <v>0</v>
      </c>
      <c r="AG104" s="338">
        <v>0</v>
      </c>
      <c r="AH104" s="338">
        <v>0</v>
      </c>
      <c r="AI104" s="338">
        <v>0</v>
      </c>
      <c r="AJ104" s="338">
        <f t="shared" si="77"/>
        <v>0</v>
      </c>
      <c r="AK104" s="338">
        <v>0.23</v>
      </c>
      <c r="AL104" s="338">
        <v>0</v>
      </c>
      <c r="AM104" s="338">
        <v>0</v>
      </c>
      <c r="AN104" s="338">
        <v>0</v>
      </c>
      <c r="AO104" s="338">
        <v>0</v>
      </c>
      <c r="AP104" s="338">
        <f t="shared" si="78"/>
        <v>0</v>
      </c>
      <c r="AQ104" s="338">
        <f t="shared" si="78"/>
        <v>0</v>
      </c>
      <c r="AR104" s="338">
        <f t="shared" si="79"/>
        <v>0</v>
      </c>
      <c r="AS104" s="338">
        <f t="shared" si="79"/>
        <v>0</v>
      </c>
      <c r="AU104" s="257"/>
    </row>
    <row r="105" spans="1:47" s="256" customFormat="1" ht="20.25" customHeight="1">
      <c r="A105" s="475"/>
      <c r="B105" s="360"/>
      <c r="C105" s="428" t="s">
        <v>465</v>
      </c>
      <c r="D105" s="338">
        <v>61.831</v>
      </c>
      <c r="E105" s="338">
        <f t="shared" si="72"/>
        <v>61.26114000000001</v>
      </c>
      <c r="F105" s="338">
        <f t="shared" si="73"/>
        <v>61.24734000000001</v>
      </c>
      <c r="G105" s="339">
        <v>21</v>
      </c>
      <c r="H105" s="339">
        <v>0</v>
      </c>
      <c r="I105" s="339">
        <v>21</v>
      </c>
      <c r="J105" s="339">
        <v>0</v>
      </c>
      <c r="K105" s="338">
        <f t="shared" si="74"/>
        <v>61.24734000000001</v>
      </c>
      <c r="L105" s="338">
        <f t="shared" si="75"/>
        <v>0</v>
      </c>
      <c r="M105" s="338">
        <v>6.6024</v>
      </c>
      <c r="N105" s="338">
        <v>0</v>
      </c>
      <c r="O105" s="338">
        <v>0</v>
      </c>
      <c r="P105" s="338">
        <v>0.306</v>
      </c>
      <c r="Q105" s="338">
        <v>0</v>
      </c>
      <c r="R105" s="338">
        <v>0</v>
      </c>
      <c r="S105" s="338">
        <v>1.7451</v>
      </c>
      <c r="T105" s="338">
        <v>0</v>
      </c>
      <c r="U105" s="338">
        <v>1.55439</v>
      </c>
      <c r="V105" s="338">
        <v>0</v>
      </c>
      <c r="W105" s="338"/>
      <c r="X105" s="339">
        <v>0</v>
      </c>
      <c r="Y105" s="339">
        <v>0</v>
      </c>
      <c r="Z105" s="338">
        <v>0</v>
      </c>
      <c r="AA105" s="339">
        <v>0</v>
      </c>
      <c r="AB105" s="339">
        <v>0</v>
      </c>
      <c r="AC105" s="339">
        <v>0</v>
      </c>
      <c r="AD105" s="339">
        <v>0</v>
      </c>
      <c r="AE105" s="338">
        <f t="shared" si="76"/>
        <v>0.2323</v>
      </c>
      <c r="AF105" s="338">
        <f t="shared" si="76"/>
        <v>0</v>
      </c>
      <c r="AG105" s="338">
        <v>0</v>
      </c>
      <c r="AH105" s="338">
        <v>0</v>
      </c>
      <c r="AI105" s="314">
        <f>AK105+AL105+AN105</f>
        <v>0.23</v>
      </c>
      <c r="AJ105" s="338">
        <f t="shared" si="77"/>
        <v>0</v>
      </c>
      <c r="AK105" s="338">
        <v>0.23</v>
      </c>
      <c r="AL105" s="338">
        <v>0</v>
      </c>
      <c r="AM105" s="338">
        <v>0</v>
      </c>
      <c r="AN105" s="338">
        <v>0</v>
      </c>
      <c r="AO105" s="338">
        <v>0</v>
      </c>
      <c r="AP105" s="338">
        <f t="shared" si="78"/>
        <v>0.0023</v>
      </c>
      <c r="AQ105" s="338">
        <f t="shared" si="78"/>
        <v>0</v>
      </c>
      <c r="AR105" s="338">
        <f t="shared" si="79"/>
        <v>0.0138</v>
      </c>
      <c r="AS105" s="338">
        <f t="shared" si="79"/>
        <v>0</v>
      </c>
      <c r="AU105" s="257"/>
    </row>
    <row r="106" spans="1:47" s="132" customFormat="1" ht="13.5" customHeight="1">
      <c r="A106" s="468"/>
      <c r="B106" s="372"/>
      <c r="C106" s="129" t="s">
        <v>457</v>
      </c>
      <c r="D106" s="317">
        <v>124.02</v>
      </c>
      <c r="E106" s="317">
        <f t="shared" si="72"/>
        <v>110.82</v>
      </c>
      <c r="F106" s="317">
        <f t="shared" si="73"/>
        <v>110.82</v>
      </c>
      <c r="G106" s="330">
        <v>38</v>
      </c>
      <c r="H106" s="330">
        <v>3</v>
      </c>
      <c r="I106" s="330">
        <v>37</v>
      </c>
      <c r="J106" s="330">
        <v>3</v>
      </c>
      <c r="K106" s="317">
        <f t="shared" si="74"/>
        <v>104.58</v>
      </c>
      <c r="L106" s="317">
        <f t="shared" si="75"/>
        <v>6.239999999999998</v>
      </c>
      <c r="M106" s="317">
        <v>11.06</v>
      </c>
      <c r="N106" s="317">
        <v>0.7</v>
      </c>
      <c r="O106" s="317"/>
      <c r="P106" s="317">
        <v>0.59</v>
      </c>
      <c r="Q106" s="317">
        <v>0</v>
      </c>
      <c r="R106" s="317">
        <v>0</v>
      </c>
      <c r="S106" s="317">
        <v>3.16</v>
      </c>
      <c r="T106" s="317">
        <v>0.18</v>
      </c>
      <c r="U106" s="317">
        <v>2.62</v>
      </c>
      <c r="V106" s="317">
        <v>0.16</v>
      </c>
      <c r="W106" s="317"/>
      <c r="X106" s="330">
        <v>0</v>
      </c>
      <c r="Y106" s="330">
        <v>0</v>
      </c>
      <c r="Z106" s="317"/>
      <c r="AA106" s="330">
        <v>0</v>
      </c>
      <c r="AB106" s="330">
        <v>0</v>
      </c>
      <c r="AC106" s="330"/>
      <c r="AD106" s="330">
        <v>0</v>
      </c>
      <c r="AE106" s="317">
        <f t="shared" si="76"/>
        <v>0</v>
      </c>
      <c r="AF106" s="317">
        <f t="shared" si="76"/>
        <v>0</v>
      </c>
      <c r="AG106" s="317"/>
      <c r="AH106" s="317">
        <v>0</v>
      </c>
      <c r="AI106" s="317">
        <f>AK106+AL106+AN106</f>
        <v>0</v>
      </c>
      <c r="AJ106" s="317">
        <f t="shared" si="77"/>
        <v>0</v>
      </c>
      <c r="AK106" s="317"/>
      <c r="AL106" s="317"/>
      <c r="AM106" s="317"/>
      <c r="AN106" s="317"/>
      <c r="AO106" s="317"/>
      <c r="AP106" s="317">
        <f t="shared" si="78"/>
        <v>0</v>
      </c>
      <c r="AQ106" s="317">
        <f t="shared" si="78"/>
        <v>0</v>
      </c>
      <c r="AR106" s="317">
        <f t="shared" si="79"/>
        <v>0</v>
      </c>
      <c r="AS106" s="317">
        <f t="shared" si="79"/>
        <v>0</v>
      </c>
      <c r="AU106" s="140"/>
    </row>
    <row r="107" spans="1:47" s="132" customFormat="1" ht="13.5" customHeight="1">
      <c r="A107" s="468"/>
      <c r="B107" s="459"/>
      <c r="C107" s="129" t="s">
        <v>128</v>
      </c>
      <c r="D107" s="317">
        <v>249.72000000000014</v>
      </c>
      <c r="E107" s="317">
        <f t="shared" si="72"/>
        <v>211.848</v>
      </c>
      <c r="F107" s="317">
        <f t="shared" si="73"/>
        <v>211.8</v>
      </c>
      <c r="G107" s="330">
        <v>65</v>
      </c>
      <c r="H107" s="330">
        <v>4</v>
      </c>
      <c r="I107" s="330">
        <v>65</v>
      </c>
      <c r="J107" s="330">
        <v>3</v>
      </c>
      <c r="K107" s="317">
        <f t="shared" si="74"/>
        <v>204.60000000000002</v>
      </c>
      <c r="L107" s="317">
        <f t="shared" si="75"/>
        <v>7.199999999999999</v>
      </c>
      <c r="M107" s="317">
        <v>21</v>
      </c>
      <c r="N107" s="317">
        <v>0.8</v>
      </c>
      <c r="O107" s="317">
        <v>0</v>
      </c>
      <c r="P107" s="317">
        <v>1</v>
      </c>
      <c r="Q107" s="317">
        <v>0.1</v>
      </c>
      <c r="R107" s="317">
        <v>0</v>
      </c>
      <c r="S107" s="317">
        <v>7</v>
      </c>
      <c r="T107" s="317">
        <v>0.2</v>
      </c>
      <c r="U107" s="317">
        <v>5</v>
      </c>
      <c r="V107" s="317">
        <v>0.2</v>
      </c>
      <c r="W107" s="317"/>
      <c r="X107" s="330">
        <v>0</v>
      </c>
      <c r="Y107" s="330">
        <v>4</v>
      </c>
      <c r="Z107" s="317">
        <v>6</v>
      </c>
      <c r="AA107" s="330">
        <v>0</v>
      </c>
      <c r="AB107" s="330">
        <v>4</v>
      </c>
      <c r="AC107" s="330">
        <v>0</v>
      </c>
      <c r="AD107" s="330">
        <v>3</v>
      </c>
      <c r="AE107" s="317">
        <f>AG107+AI107+AP107</f>
        <v>0</v>
      </c>
      <c r="AF107" s="317">
        <f>AH107+AJ107+AQ107</f>
        <v>0.808</v>
      </c>
      <c r="AG107" s="317">
        <v>0</v>
      </c>
      <c r="AH107" s="317">
        <v>0.8</v>
      </c>
      <c r="AI107" s="317">
        <v>0</v>
      </c>
      <c r="AJ107" s="317">
        <f t="shared" si="77"/>
        <v>0</v>
      </c>
      <c r="AK107" s="317">
        <v>0</v>
      </c>
      <c r="AL107" s="317">
        <v>0</v>
      </c>
      <c r="AM107" s="317">
        <v>0</v>
      </c>
      <c r="AN107" s="317">
        <v>0</v>
      </c>
      <c r="AO107" s="317">
        <v>0</v>
      </c>
      <c r="AP107" s="317">
        <f>(AG107+AI107)*1%</f>
        <v>0</v>
      </c>
      <c r="AQ107" s="317">
        <f>(AH107+AJ107)*1%</f>
        <v>0.008</v>
      </c>
      <c r="AR107" s="317">
        <f>AP107*6</f>
        <v>0</v>
      </c>
      <c r="AS107" s="317">
        <f>AQ107*6</f>
        <v>0.048</v>
      </c>
      <c r="AU107" s="140"/>
    </row>
    <row r="108" spans="1:47" s="450" customFormat="1" ht="13.5" customHeight="1">
      <c r="A108" s="473"/>
      <c r="B108" s="447"/>
      <c r="C108" s="448" t="s">
        <v>129</v>
      </c>
      <c r="D108" s="443">
        <v>287.0999999999996</v>
      </c>
      <c r="E108" s="317">
        <f t="shared" si="72"/>
        <v>274.4172</v>
      </c>
      <c r="F108" s="317">
        <f t="shared" si="73"/>
        <v>274.26</v>
      </c>
      <c r="G108" s="330">
        <v>87</v>
      </c>
      <c r="H108" s="330">
        <v>13</v>
      </c>
      <c r="I108" s="330">
        <v>78</v>
      </c>
      <c r="J108" s="330">
        <v>12</v>
      </c>
      <c r="K108" s="317">
        <f t="shared" si="74"/>
        <v>250.98</v>
      </c>
      <c r="L108" s="317">
        <f t="shared" si="75"/>
        <v>23.28</v>
      </c>
      <c r="M108" s="317">
        <v>25.93</v>
      </c>
      <c r="N108" s="317">
        <v>2.59</v>
      </c>
      <c r="O108" s="317">
        <v>0</v>
      </c>
      <c r="P108" s="317">
        <v>1.24</v>
      </c>
      <c r="Q108" s="317">
        <v>0.29</v>
      </c>
      <c r="R108" s="317">
        <v>0.03</v>
      </c>
      <c r="S108" s="317">
        <v>8.02</v>
      </c>
      <c r="T108" s="317">
        <v>0.66</v>
      </c>
      <c r="U108" s="317">
        <v>6.35</v>
      </c>
      <c r="V108" s="317">
        <v>0.6</v>
      </c>
      <c r="W108" s="317"/>
      <c r="X108" s="330">
        <v>0</v>
      </c>
      <c r="Y108" s="330"/>
      <c r="Z108" s="317"/>
      <c r="AA108" s="330">
        <v>0</v>
      </c>
      <c r="AB108" s="330">
        <v>13</v>
      </c>
      <c r="AC108" s="330">
        <v>0</v>
      </c>
      <c r="AD108" s="330">
        <v>12</v>
      </c>
      <c r="AE108" s="317">
        <f>AG108+AI108+AP108</f>
        <v>0</v>
      </c>
      <c r="AF108" s="317">
        <f>AH108+AJ108+AQ108</f>
        <v>2.6461999999999994</v>
      </c>
      <c r="AG108" s="317">
        <v>0</v>
      </c>
      <c r="AH108" s="317">
        <v>2.59</v>
      </c>
      <c r="AI108" s="314">
        <f>AK108+AL108+AN108</f>
        <v>0</v>
      </c>
      <c r="AJ108" s="317">
        <f t="shared" si="77"/>
        <v>0.03</v>
      </c>
      <c r="AK108" s="317">
        <v>0</v>
      </c>
      <c r="AL108" s="317">
        <v>0</v>
      </c>
      <c r="AM108" s="317">
        <v>0.03</v>
      </c>
      <c r="AN108" s="317">
        <v>0</v>
      </c>
      <c r="AO108" s="317">
        <v>0</v>
      </c>
      <c r="AP108" s="317">
        <f>(AG108+AI108)*1%</f>
        <v>0</v>
      </c>
      <c r="AQ108" s="317">
        <f>(AH108+AJ108)*1%</f>
        <v>0.026199999999999998</v>
      </c>
      <c r="AR108" s="317">
        <f>AP108*6</f>
        <v>0</v>
      </c>
      <c r="AS108" s="317">
        <f>AQ108*6</f>
        <v>0.15719999999999998</v>
      </c>
      <c r="AU108" s="446"/>
    </row>
    <row r="109" spans="1:47" s="445" customFormat="1" ht="13.5" customHeight="1">
      <c r="A109" s="476"/>
      <c r="B109" s="440"/>
      <c r="C109" s="451" t="s">
        <v>286</v>
      </c>
      <c r="D109" s="442">
        <v>181.73999999999978</v>
      </c>
      <c r="E109" s="317">
        <f t="shared" si="72"/>
        <v>0</v>
      </c>
      <c r="F109" s="317">
        <f t="shared" si="73"/>
        <v>0</v>
      </c>
      <c r="G109" s="444"/>
      <c r="H109" s="444"/>
      <c r="I109" s="444"/>
      <c r="J109" s="444"/>
      <c r="K109" s="317">
        <f t="shared" si="74"/>
        <v>0</v>
      </c>
      <c r="L109" s="317">
        <f t="shared" si="75"/>
        <v>0</v>
      </c>
      <c r="M109" s="442"/>
      <c r="N109" s="442"/>
      <c r="O109" s="442"/>
      <c r="P109" s="442"/>
      <c r="Q109" s="442"/>
      <c r="R109" s="442"/>
      <c r="S109" s="442"/>
      <c r="T109" s="442"/>
      <c r="U109" s="442"/>
      <c r="V109" s="442"/>
      <c r="W109" s="442"/>
      <c r="X109" s="444"/>
      <c r="Y109" s="444"/>
      <c r="Z109" s="442"/>
      <c r="AA109" s="444"/>
      <c r="AB109" s="444"/>
      <c r="AC109" s="444"/>
      <c r="AD109" s="444"/>
      <c r="AE109" s="442"/>
      <c r="AF109" s="442"/>
      <c r="AG109" s="442"/>
      <c r="AH109" s="442"/>
      <c r="AI109" s="442"/>
      <c r="AJ109" s="442"/>
      <c r="AK109" s="442"/>
      <c r="AL109" s="442"/>
      <c r="AM109" s="442"/>
      <c r="AN109" s="442"/>
      <c r="AO109" s="442"/>
      <c r="AP109" s="442"/>
      <c r="AQ109" s="442"/>
      <c r="AR109" s="442"/>
      <c r="AS109" s="442"/>
      <c r="AU109" s="452"/>
    </row>
    <row r="110" spans="1:47" s="445" customFormat="1" ht="13.5" customHeight="1">
      <c r="A110" s="476"/>
      <c r="B110" s="440"/>
      <c r="C110" s="451" t="s">
        <v>296</v>
      </c>
      <c r="D110" s="442">
        <v>55.07999999999987</v>
      </c>
      <c r="E110" s="317">
        <f t="shared" si="72"/>
        <v>0</v>
      </c>
      <c r="F110" s="317">
        <f t="shared" si="73"/>
        <v>0</v>
      </c>
      <c r="G110" s="444"/>
      <c r="H110" s="444"/>
      <c r="I110" s="444"/>
      <c r="J110" s="444"/>
      <c r="K110" s="317">
        <f t="shared" si="74"/>
        <v>0</v>
      </c>
      <c r="L110" s="317">
        <f t="shared" si="75"/>
        <v>0</v>
      </c>
      <c r="M110" s="442"/>
      <c r="N110" s="442"/>
      <c r="O110" s="442"/>
      <c r="P110" s="442"/>
      <c r="Q110" s="442"/>
      <c r="R110" s="442"/>
      <c r="S110" s="442"/>
      <c r="T110" s="442"/>
      <c r="U110" s="442"/>
      <c r="V110" s="442"/>
      <c r="W110" s="442"/>
      <c r="X110" s="444"/>
      <c r="Y110" s="444"/>
      <c r="Z110" s="442"/>
      <c r="AA110" s="444"/>
      <c r="AB110" s="444"/>
      <c r="AC110" s="444"/>
      <c r="AD110" s="444"/>
      <c r="AE110" s="442"/>
      <c r="AF110" s="442"/>
      <c r="AG110" s="442"/>
      <c r="AH110" s="442"/>
      <c r="AI110" s="442"/>
      <c r="AJ110" s="442"/>
      <c r="AK110" s="442"/>
      <c r="AL110" s="442"/>
      <c r="AM110" s="442"/>
      <c r="AN110" s="442"/>
      <c r="AO110" s="442"/>
      <c r="AP110" s="442"/>
      <c r="AQ110" s="442"/>
      <c r="AR110" s="442"/>
      <c r="AS110" s="442"/>
      <c r="AU110" s="452"/>
    </row>
    <row r="111" spans="1:47" s="445" customFormat="1" ht="13.5" customHeight="1">
      <c r="A111" s="476"/>
      <c r="B111" s="440"/>
      <c r="C111" s="451" t="s">
        <v>297</v>
      </c>
      <c r="D111" s="442">
        <v>50.27999999999997</v>
      </c>
      <c r="E111" s="317">
        <f t="shared" si="72"/>
        <v>0</v>
      </c>
      <c r="F111" s="317">
        <f t="shared" si="73"/>
        <v>0</v>
      </c>
      <c r="G111" s="444"/>
      <c r="H111" s="444"/>
      <c r="I111" s="444"/>
      <c r="J111" s="444"/>
      <c r="K111" s="317">
        <f t="shared" si="74"/>
        <v>0</v>
      </c>
      <c r="L111" s="317">
        <f t="shared" si="75"/>
        <v>0</v>
      </c>
      <c r="M111" s="442"/>
      <c r="N111" s="442"/>
      <c r="O111" s="442"/>
      <c r="P111" s="442"/>
      <c r="Q111" s="442"/>
      <c r="R111" s="442"/>
      <c r="S111" s="442"/>
      <c r="T111" s="442"/>
      <c r="U111" s="442"/>
      <c r="V111" s="442"/>
      <c r="W111" s="442"/>
      <c r="X111" s="444"/>
      <c r="Y111" s="444"/>
      <c r="Z111" s="442"/>
      <c r="AA111" s="444"/>
      <c r="AB111" s="444"/>
      <c r="AC111" s="444"/>
      <c r="AD111" s="444"/>
      <c r="AE111" s="442"/>
      <c r="AF111" s="442"/>
      <c r="AG111" s="442"/>
      <c r="AH111" s="442"/>
      <c r="AI111" s="442"/>
      <c r="AJ111" s="442"/>
      <c r="AK111" s="442"/>
      <c r="AL111" s="442"/>
      <c r="AM111" s="442"/>
      <c r="AN111" s="442"/>
      <c r="AO111" s="442"/>
      <c r="AP111" s="442"/>
      <c r="AQ111" s="442"/>
      <c r="AR111" s="442"/>
      <c r="AS111" s="442"/>
      <c r="AU111" s="452"/>
    </row>
    <row r="112" spans="1:47" s="132" customFormat="1" ht="13.5" customHeight="1">
      <c r="A112" s="468"/>
      <c r="B112" s="400"/>
      <c r="C112" s="129" t="s">
        <v>130</v>
      </c>
      <c r="D112" s="317">
        <v>252.1512</v>
      </c>
      <c r="E112" s="317">
        <f>SUM(E113:E114)</f>
        <v>285.825</v>
      </c>
      <c r="F112" s="317">
        <f aca="true" t="shared" si="80" ref="F112:AS112">SUM(F113:F114)</f>
        <v>284.64</v>
      </c>
      <c r="G112" s="317">
        <f t="shared" si="80"/>
        <v>89</v>
      </c>
      <c r="H112" s="317">
        <f t="shared" si="80"/>
        <v>7</v>
      </c>
      <c r="I112" s="317">
        <f t="shared" si="80"/>
        <v>87</v>
      </c>
      <c r="J112" s="317">
        <f t="shared" si="80"/>
        <v>7</v>
      </c>
      <c r="K112" s="317">
        <f t="shared" si="80"/>
        <v>250.79999999999998</v>
      </c>
      <c r="L112" s="317">
        <f t="shared" si="80"/>
        <v>33.84</v>
      </c>
      <c r="M112" s="317">
        <f t="shared" si="80"/>
        <v>26.55</v>
      </c>
      <c r="N112" s="317">
        <f t="shared" si="80"/>
        <v>2.04</v>
      </c>
      <c r="O112" s="317">
        <f t="shared" si="80"/>
        <v>0</v>
      </c>
      <c r="P112" s="317">
        <f t="shared" si="80"/>
        <v>1.02</v>
      </c>
      <c r="Q112" s="317">
        <f t="shared" si="80"/>
        <v>0.19</v>
      </c>
      <c r="R112" s="317">
        <f t="shared" si="80"/>
        <v>0.11</v>
      </c>
      <c r="S112" s="317">
        <f t="shared" si="80"/>
        <v>8.45</v>
      </c>
      <c r="T112" s="317">
        <f t="shared" si="80"/>
        <v>0.5900000000000001</v>
      </c>
      <c r="U112" s="317">
        <f t="shared" si="80"/>
        <v>5.59</v>
      </c>
      <c r="V112" s="317">
        <f t="shared" si="80"/>
        <v>2.9</v>
      </c>
      <c r="W112" s="317">
        <f t="shared" si="80"/>
        <v>0</v>
      </c>
      <c r="X112" s="317">
        <f t="shared" si="80"/>
        <v>0</v>
      </c>
      <c r="Y112" s="317">
        <f t="shared" si="80"/>
        <v>7</v>
      </c>
      <c r="Z112" s="317">
        <f t="shared" si="80"/>
        <v>7.5</v>
      </c>
      <c r="AA112" s="317">
        <f t="shared" si="80"/>
        <v>87</v>
      </c>
      <c r="AB112" s="317">
        <f t="shared" si="80"/>
        <v>7</v>
      </c>
      <c r="AC112" s="317">
        <f t="shared" si="80"/>
        <v>0</v>
      </c>
      <c r="AD112" s="317">
        <f t="shared" si="80"/>
        <v>8</v>
      </c>
      <c r="AE112" s="317">
        <f t="shared" si="80"/>
        <v>0.8584999999999999</v>
      </c>
      <c r="AF112" s="317">
        <f t="shared" si="80"/>
        <v>19.089</v>
      </c>
      <c r="AG112" s="317">
        <f t="shared" si="80"/>
        <v>0</v>
      </c>
      <c r="AH112" s="317">
        <f t="shared" si="80"/>
        <v>18.9</v>
      </c>
      <c r="AI112" s="317">
        <f t="shared" si="80"/>
        <v>0.85</v>
      </c>
      <c r="AJ112" s="317">
        <f t="shared" si="80"/>
        <v>0</v>
      </c>
      <c r="AK112" s="317">
        <f t="shared" si="80"/>
        <v>0</v>
      </c>
      <c r="AL112" s="317">
        <f t="shared" si="80"/>
        <v>0</v>
      </c>
      <c r="AM112" s="317">
        <f t="shared" si="80"/>
        <v>0</v>
      </c>
      <c r="AN112" s="317">
        <f t="shared" si="80"/>
        <v>0.85</v>
      </c>
      <c r="AO112" s="317">
        <f t="shared" si="80"/>
        <v>0</v>
      </c>
      <c r="AP112" s="317">
        <f t="shared" si="80"/>
        <v>0.0085</v>
      </c>
      <c r="AQ112" s="317">
        <f t="shared" si="80"/>
        <v>0.189</v>
      </c>
      <c r="AR112" s="317">
        <f t="shared" si="80"/>
        <v>0.051000000000000004</v>
      </c>
      <c r="AS112" s="317">
        <f t="shared" si="80"/>
        <v>1.134</v>
      </c>
      <c r="AU112" s="140"/>
    </row>
    <row r="113" spans="1:47" ht="13.5" customHeight="1">
      <c r="A113" s="470"/>
      <c r="B113" s="294"/>
      <c r="C113" s="175" t="s">
        <v>286</v>
      </c>
      <c r="D113" s="314">
        <v>216.135</v>
      </c>
      <c r="E113" s="314">
        <f>K113+L113+AR113+AS113</f>
        <v>245.4408</v>
      </c>
      <c r="F113" s="314">
        <f>K113+L113</f>
        <v>244.5</v>
      </c>
      <c r="G113" s="329">
        <v>76</v>
      </c>
      <c r="H113" s="329">
        <v>5</v>
      </c>
      <c r="I113" s="329">
        <v>76</v>
      </c>
      <c r="J113" s="329">
        <v>5</v>
      </c>
      <c r="K113" s="314">
        <f>(M113+O113+P113+Q113+S113+U113)*6</f>
        <v>217.26</v>
      </c>
      <c r="L113" s="314">
        <f>(N113+R113+T113+V113)*6</f>
        <v>27.240000000000002</v>
      </c>
      <c r="M113" s="314">
        <v>22.95</v>
      </c>
      <c r="N113" s="314">
        <v>1.41</v>
      </c>
      <c r="O113" s="314">
        <v>0</v>
      </c>
      <c r="P113" s="314">
        <v>0.86</v>
      </c>
      <c r="Q113" s="314">
        <v>0.14</v>
      </c>
      <c r="R113" s="314">
        <v>0</v>
      </c>
      <c r="S113" s="314">
        <v>7.46</v>
      </c>
      <c r="T113" s="314">
        <v>0.4</v>
      </c>
      <c r="U113" s="314">
        <v>4.8</v>
      </c>
      <c r="V113" s="314">
        <v>2.73</v>
      </c>
      <c r="W113" s="314"/>
      <c r="X113" s="329"/>
      <c r="Y113" s="329">
        <v>5</v>
      </c>
      <c r="Z113" s="314">
        <v>6.5</v>
      </c>
      <c r="AA113" s="329">
        <v>76</v>
      </c>
      <c r="AB113" s="329">
        <v>5</v>
      </c>
      <c r="AC113" s="329">
        <v>0</v>
      </c>
      <c r="AD113" s="329">
        <v>5</v>
      </c>
      <c r="AE113" s="314">
        <f aca="true" t="shared" si="81" ref="AE113:AF116">AG113+AI113+AP113</f>
        <v>0</v>
      </c>
      <c r="AF113" s="314">
        <f t="shared" si="81"/>
        <v>15.8368</v>
      </c>
      <c r="AG113" s="314">
        <v>0</v>
      </c>
      <c r="AH113" s="314">
        <v>15.68</v>
      </c>
      <c r="AI113" s="314">
        <v>0</v>
      </c>
      <c r="AJ113" s="317">
        <f>AM113+AO113</f>
        <v>0</v>
      </c>
      <c r="AK113" s="314">
        <v>0</v>
      </c>
      <c r="AL113" s="314">
        <v>0</v>
      </c>
      <c r="AM113" s="314">
        <v>0</v>
      </c>
      <c r="AN113" s="314">
        <v>0</v>
      </c>
      <c r="AO113" s="314">
        <v>0</v>
      </c>
      <c r="AP113" s="314">
        <f aca="true" t="shared" si="82" ref="AP113:AQ116">(AG113+AI113)*1%</f>
        <v>0</v>
      </c>
      <c r="AQ113" s="314">
        <f t="shared" si="82"/>
        <v>0.1568</v>
      </c>
      <c r="AR113" s="314">
        <f aca="true" t="shared" si="83" ref="AR113:AS116">AP113*6</f>
        <v>0</v>
      </c>
      <c r="AS113" s="314">
        <f t="shared" si="83"/>
        <v>0.9408</v>
      </c>
      <c r="AU113" s="140"/>
    </row>
    <row r="114" spans="1:47" ht="19.5" customHeight="1">
      <c r="A114" s="470"/>
      <c r="B114" s="294"/>
      <c r="C114" s="175" t="s">
        <v>263</v>
      </c>
      <c r="D114" s="314">
        <v>36.0162</v>
      </c>
      <c r="E114" s="314">
        <f>K114+L114+AR114+AS114</f>
        <v>40.3842</v>
      </c>
      <c r="F114" s="314">
        <f>K114+L114</f>
        <v>40.14</v>
      </c>
      <c r="G114" s="329">
        <v>13</v>
      </c>
      <c r="H114" s="329">
        <v>2</v>
      </c>
      <c r="I114" s="329">
        <v>11</v>
      </c>
      <c r="J114" s="329">
        <v>2</v>
      </c>
      <c r="K114" s="314">
        <f>(M114+O114+P114+Q114+S114+U114)*6</f>
        <v>33.54</v>
      </c>
      <c r="L114" s="314">
        <f>(N114+R114+T114+V114)*6</f>
        <v>6.6</v>
      </c>
      <c r="M114" s="314">
        <v>3.6</v>
      </c>
      <c r="N114" s="314">
        <v>0.63</v>
      </c>
      <c r="O114" s="314">
        <v>0</v>
      </c>
      <c r="P114" s="314">
        <v>0.16</v>
      </c>
      <c r="Q114" s="314">
        <v>0.05</v>
      </c>
      <c r="R114" s="314">
        <v>0.11</v>
      </c>
      <c r="S114" s="314">
        <v>0.99</v>
      </c>
      <c r="T114" s="314">
        <v>0.19</v>
      </c>
      <c r="U114" s="314">
        <v>0.79</v>
      </c>
      <c r="V114" s="314">
        <v>0.17</v>
      </c>
      <c r="W114" s="314"/>
      <c r="X114" s="329"/>
      <c r="Y114" s="329">
        <v>2</v>
      </c>
      <c r="Z114" s="314">
        <v>1</v>
      </c>
      <c r="AA114" s="329">
        <v>11</v>
      </c>
      <c r="AB114" s="329">
        <v>2</v>
      </c>
      <c r="AC114" s="329">
        <v>0</v>
      </c>
      <c r="AD114" s="329">
        <v>3</v>
      </c>
      <c r="AE114" s="314">
        <f t="shared" si="81"/>
        <v>0.8584999999999999</v>
      </c>
      <c r="AF114" s="314">
        <f t="shared" si="81"/>
        <v>3.2522</v>
      </c>
      <c r="AG114" s="314">
        <v>0</v>
      </c>
      <c r="AH114" s="314">
        <v>3.22</v>
      </c>
      <c r="AI114" s="314">
        <f>AK114+AL114+AN114</f>
        <v>0.85</v>
      </c>
      <c r="AJ114" s="317">
        <f>AM114+AO114</f>
        <v>0</v>
      </c>
      <c r="AK114" s="314">
        <v>0</v>
      </c>
      <c r="AL114" s="314">
        <v>0</v>
      </c>
      <c r="AM114" s="314">
        <v>0</v>
      </c>
      <c r="AN114" s="314">
        <v>0.85</v>
      </c>
      <c r="AO114" s="314">
        <v>0</v>
      </c>
      <c r="AP114" s="314">
        <f t="shared" si="82"/>
        <v>0.0085</v>
      </c>
      <c r="AQ114" s="314">
        <f t="shared" si="82"/>
        <v>0.0322</v>
      </c>
      <c r="AR114" s="314">
        <f t="shared" si="83"/>
        <v>0.051000000000000004</v>
      </c>
      <c r="AS114" s="314">
        <f t="shared" si="83"/>
        <v>0.19319999999999998</v>
      </c>
      <c r="AU114" s="140"/>
    </row>
    <row r="115" spans="1:47" s="132" customFormat="1" ht="13.5" customHeight="1">
      <c r="A115" s="468"/>
      <c r="B115" s="400"/>
      <c r="C115" s="129" t="s">
        <v>131</v>
      </c>
      <c r="D115" s="317">
        <v>84.78060000000019</v>
      </c>
      <c r="E115" s="314">
        <f>K115+L115+AR115+AS115</f>
        <v>89.31</v>
      </c>
      <c r="F115" s="314">
        <f>K115+L115</f>
        <v>89.31</v>
      </c>
      <c r="G115" s="329"/>
      <c r="H115" s="329">
        <v>0</v>
      </c>
      <c r="I115" s="329"/>
      <c r="J115" s="329">
        <v>0</v>
      </c>
      <c r="K115" s="314">
        <f>(M115+O115+P115+Q115+S115+U115)*6</f>
        <v>83.028</v>
      </c>
      <c r="L115" s="314">
        <f>(N115+R115+T115+V115)*6</f>
        <v>6.282</v>
      </c>
      <c r="M115" s="314">
        <v>8.347</v>
      </c>
      <c r="N115" s="314">
        <v>1.047</v>
      </c>
      <c r="O115" s="314">
        <v>0</v>
      </c>
      <c r="P115" s="314">
        <v>0.531</v>
      </c>
      <c r="Q115" s="314">
        <v>0.07</v>
      </c>
      <c r="R115" s="314">
        <v>0</v>
      </c>
      <c r="S115" s="314">
        <v>2.577</v>
      </c>
      <c r="T115" s="314">
        <v>0</v>
      </c>
      <c r="U115" s="314">
        <v>2.313</v>
      </c>
      <c r="V115" s="314">
        <v>0</v>
      </c>
      <c r="W115" s="314"/>
      <c r="X115" s="329"/>
      <c r="Y115" s="329">
        <v>0</v>
      </c>
      <c r="Z115" s="314">
        <v>0</v>
      </c>
      <c r="AA115" s="329">
        <v>0</v>
      </c>
      <c r="AB115" s="329">
        <v>0</v>
      </c>
      <c r="AC115" s="329">
        <v>0</v>
      </c>
      <c r="AD115" s="329">
        <v>0</v>
      </c>
      <c r="AE115" s="314">
        <f t="shared" si="81"/>
        <v>0</v>
      </c>
      <c r="AF115" s="314">
        <f t="shared" si="81"/>
        <v>0</v>
      </c>
      <c r="AG115" s="314">
        <v>0</v>
      </c>
      <c r="AH115" s="314">
        <v>0</v>
      </c>
      <c r="AI115" s="314">
        <f>AK115+AL115+AN115</f>
        <v>0</v>
      </c>
      <c r="AJ115" s="317">
        <f>AM115+AO115</f>
        <v>0</v>
      </c>
      <c r="AK115" s="314">
        <v>0</v>
      </c>
      <c r="AL115" s="314">
        <v>0</v>
      </c>
      <c r="AM115" s="314">
        <v>0</v>
      </c>
      <c r="AN115" s="314">
        <v>0</v>
      </c>
      <c r="AO115" s="314">
        <v>0</v>
      </c>
      <c r="AP115" s="314">
        <f t="shared" si="82"/>
        <v>0</v>
      </c>
      <c r="AQ115" s="314">
        <f t="shared" si="82"/>
        <v>0</v>
      </c>
      <c r="AR115" s="314">
        <f t="shared" si="83"/>
        <v>0</v>
      </c>
      <c r="AS115" s="314">
        <f t="shared" si="83"/>
        <v>0</v>
      </c>
      <c r="AU115" s="140"/>
    </row>
    <row r="116" spans="1:47" s="132" customFormat="1" ht="13.5" customHeight="1">
      <c r="A116" s="468"/>
      <c r="B116" s="325"/>
      <c r="C116" s="129" t="s">
        <v>132</v>
      </c>
      <c r="D116" s="317">
        <v>130.88</v>
      </c>
      <c r="E116" s="342">
        <f>K116+L116+AR116+AS116</f>
        <v>109.7574</v>
      </c>
      <c r="F116" s="317">
        <f>K116+L116</f>
        <v>109.02000000000001</v>
      </c>
      <c r="G116" s="330">
        <v>35</v>
      </c>
      <c r="H116" s="330">
        <v>6</v>
      </c>
      <c r="I116" s="330">
        <v>35</v>
      </c>
      <c r="J116" s="330">
        <v>6</v>
      </c>
      <c r="K116" s="342">
        <f>(M116+O116+P116+Q116+S116+U116)*6</f>
        <v>101.10000000000001</v>
      </c>
      <c r="L116" s="317">
        <f>(N116+R116+T116+V116)*6</f>
        <v>7.92</v>
      </c>
      <c r="M116" s="317">
        <v>10.39</v>
      </c>
      <c r="N116" s="317">
        <v>1.07</v>
      </c>
      <c r="O116" s="317">
        <v>0</v>
      </c>
      <c r="P116" s="317">
        <v>0.6</v>
      </c>
      <c r="Q116" s="317">
        <v>0.03</v>
      </c>
      <c r="R116" s="317"/>
      <c r="S116" s="317">
        <v>3.49</v>
      </c>
      <c r="T116" s="317">
        <v>0</v>
      </c>
      <c r="U116" s="317">
        <v>2.34</v>
      </c>
      <c r="V116" s="317">
        <v>0.25</v>
      </c>
      <c r="W116" s="317"/>
      <c r="X116" s="330"/>
      <c r="Y116" s="330"/>
      <c r="Z116" s="317">
        <v>4.05</v>
      </c>
      <c r="AA116" s="330">
        <v>35</v>
      </c>
      <c r="AB116" s="330">
        <v>6</v>
      </c>
      <c r="AC116" s="330">
        <v>35</v>
      </c>
      <c r="AD116" s="330">
        <v>6</v>
      </c>
      <c r="AE116" s="317">
        <f t="shared" si="81"/>
        <v>11.130200000000002</v>
      </c>
      <c r="AF116" s="317">
        <f t="shared" si="81"/>
        <v>1.2827</v>
      </c>
      <c r="AG116" s="317">
        <v>10.39</v>
      </c>
      <c r="AH116" s="317">
        <v>1.07</v>
      </c>
      <c r="AI116" s="317">
        <f>AK116+AL116+AN116</f>
        <v>0.63</v>
      </c>
      <c r="AJ116" s="317">
        <f>AM116+AO116</f>
        <v>0.2</v>
      </c>
      <c r="AK116" s="317">
        <v>0.6</v>
      </c>
      <c r="AL116" s="317">
        <v>0.03</v>
      </c>
      <c r="AM116" s="317">
        <v>0.2</v>
      </c>
      <c r="AN116" s="317">
        <v>0</v>
      </c>
      <c r="AO116" s="317">
        <v>0</v>
      </c>
      <c r="AP116" s="317">
        <f t="shared" si="82"/>
        <v>0.11020000000000002</v>
      </c>
      <c r="AQ116" s="314">
        <f t="shared" si="82"/>
        <v>0.012700000000000001</v>
      </c>
      <c r="AR116" s="317">
        <f t="shared" si="83"/>
        <v>0.6612000000000001</v>
      </c>
      <c r="AS116" s="317">
        <f t="shared" si="83"/>
        <v>0.0762</v>
      </c>
      <c r="AU116" s="140"/>
    </row>
    <row r="117" spans="1:47" s="132" customFormat="1" ht="13.5" customHeight="1">
      <c r="A117" s="468"/>
      <c r="B117" s="325"/>
      <c r="C117" s="129" t="s">
        <v>133</v>
      </c>
      <c r="D117" s="317">
        <v>294.74143680000014</v>
      </c>
      <c r="E117" s="342">
        <f>SUM(E118:E121)</f>
        <v>441.2202</v>
      </c>
      <c r="F117" s="342">
        <f aca="true" t="shared" si="84" ref="F117:AS117">SUM(F118:F121)</f>
        <v>440.5199999999999</v>
      </c>
      <c r="G117" s="342">
        <f t="shared" si="84"/>
        <v>103</v>
      </c>
      <c r="H117" s="342">
        <f t="shared" si="84"/>
        <v>11</v>
      </c>
      <c r="I117" s="342">
        <f t="shared" si="84"/>
        <v>98</v>
      </c>
      <c r="J117" s="342">
        <f t="shared" si="84"/>
        <v>11</v>
      </c>
      <c r="K117" s="342">
        <f t="shared" si="84"/>
        <v>421.6199999999999</v>
      </c>
      <c r="L117" s="342">
        <f t="shared" si="84"/>
        <v>18.9</v>
      </c>
      <c r="M117" s="342">
        <f t="shared" si="84"/>
        <v>48.720000000000006</v>
      </c>
      <c r="N117" s="342">
        <f t="shared" si="84"/>
        <v>2.17</v>
      </c>
      <c r="O117" s="342">
        <f t="shared" si="84"/>
        <v>0</v>
      </c>
      <c r="P117" s="342">
        <f t="shared" si="84"/>
        <v>1.52</v>
      </c>
      <c r="Q117" s="342">
        <f t="shared" si="84"/>
        <v>0.19</v>
      </c>
      <c r="R117" s="342">
        <f t="shared" si="84"/>
        <v>0.04</v>
      </c>
      <c r="S117" s="342">
        <f t="shared" si="84"/>
        <v>7.98</v>
      </c>
      <c r="T117" s="342">
        <f t="shared" si="84"/>
        <v>0.41000000000000003</v>
      </c>
      <c r="U117" s="342">
        <f t="shared" si="84"/>
        <v>11.86</v>
      </c>
      <c r="V117" s="342">
        <f t="shared" si="84"/>
        <v>0.53</v>
      </c>
      <c r="W117" s="342">
        <f t="shared" si="84"/>
        <v>0</v>
      </c>
      <c r="X117" s="342">
        <f t="shared" si="84"/>
        <v>7</v>
      </c>
      <c r="Y117" s="342">
        <f t="shared" si="84"/>
        <v>2</v>
      </c>
      <c r="Z117" s="342">
        <f t="shared" si="84"/>
        <v>7.35</v>
      </c>
      <c r="AA117" s="342">
        <f t="shared" si="84"/>
        <v>19</v>
      </c>
      <c r="AB117" s="342">
        <f t="shared" si="84"/>
        <v>6</v>
      </c>
      <c r="AC117" s="342">
        <f t="shared" si="84"/>
        <v>6</v>
      </c>
      <c r="AD117" s="342">
        <f t="shared" si="84"/>
        <v>9</v>
      </c>
      <c r="AE117" s="342">
        <f t="shared" si="84"/>
        <v>1.5554</v>
      </c>
      <c r="AF117" s="342">
        <f t="shared" si="84"/>
        <v>10.231300000000001</v>
      </c>
      <c r="AG117" s="342">
        <f t="shared" si="84"/>
        <v>1.48</v>
      </c>
      <c r="AH117" s="342">
        <f t="shared" si="84"/>
        <v>10.13</v>
      </c>
      <c r="AI117" s="342">
        <f t="shared" si="84"/>
        <v>0.06</v>
      </c>
      <c r="AJ117" s="342">
        <f t="shared" si="84"/>
        <v>0</v>
      </c>
      <c r="AK117" s="342">
        <f t="shared" si="84"/>
        <v>0.02</v>
      </c>
      <c r="AL117" s="342">
        <f t="shared" si="84"/>
        <v>0.04</v>
      </c>
      <c r="AM117" s="342">
        <f t="shared" si="84"/>
        <v>0</v>
      </c>
      <c r="AN117" s="342">
        <f t="shared" si="84"/>
        <v>0</v>
      </c>
      <c r="AO117" s="342">
        <f t="shared" si="84"/>
        <v>0</v>
      </c>
      <c r="AP117" s="342">
        <f t="shared" si="84"/>
        <v>0.015399999999999999</v>
      </c>
      <c r="AQ117" s="342">
        <f t="shared" si="84"/>
        <v>0.1013</v>
      </c>
      <c r="AR117" s="342">
        <f t="shared" si="84"/>
        <v>0.0924</v>
      </c>
      <c r="AS117" s="342">
        <f t="shared" si="84"/>
        <v>0.6078000000000001</v>
      </c>
      <c r="AU117" s="140"/>
    </row>
    <row r="118" spans="1:47" ht="13.5" customHeight="1">
      <c r="A118" s="470"/>
      <c r="B118" s="294"/>
      <c r="C118" s="175" t="s">
        <v>286</v>
      </c>
      <c r="D118" s="314">
        <v>136.4115599999999</v>
      </c>
      <c r="E118" s="314">
        <f>K118+L118+AR118+AS118</f>
        <v>285.11999999999995</v>
      </c>
      <c r="F118" s="314">
        <f>K118+L118</f>
        <v>284.5799999999999</v>
      </c>
      <c r="G118" s="329">
        <v>45</v>
      </c>
      <c r="H118" s="329">
        <v>3</v>
      </c>
      <c r="I118" s="329">
        <v>45</v>
      </c>
      <c r="J118" s="329">
        <v>3</v>
      </c>
      <c r="K118" s="314">
        <f>(M118+O118+P118+Q118+S118+U118)*6</f>
        <v>280.0799999999999</v>
      </c>
      <c r="L118" s="314">
        <f>(N118+R118+T118+V118)*6</f>
        <v>4.5</v>
      </c>
      <c r="M118" s="314">
        <v>33.5</v>
      </c>
      <c r="N118" s="314">
        <v>0.6</v>
      </c>
      <c r="O118" s="314">
        <v>0</v>
      </c>
      <c r="P118" s="314">
        <v>0.8</v>
      </c>
      <c r="Q118" s="314">
        <v>0.12</v>
      </c>
      <c r="R118" s="314"/>
      <c r="S118" s="314">
        <v>4</v>
      </c>
      <c r="T118" s="314">
        <v>0</v>
      </c>
      <c r="U118" s="314">
        <v>8.26</v>
      </c>
      <c r="V118" s="314">
        <v>0.15</v>
      </c>
      <c r="W118" s="314"/>
      <c r="X118" s="329"/>
      <c r="Y118" s="329"/>
      <c r="Z118" s="314">
        <v>0</v>
      </c>
      <c r="AA118" s="329">
        <v>0</v>
      </c>
      <c r="AB118" s="329">
        <v>0</v>
      </c>
      <c r="AC118" s="329">
        <v>0</v>
      </c>
      <c r="AD118" s="329">
        <v>3</v>
      </c>
      <c r="AE118" s="314">
        <f aca="true" t="shared" si="85" ref="AE118:AF124">AG118+AI118+AP118</f>
        <v>0</v>
      </c>
      <c r="AF118" s="314">
        <f t="shared" si="85"/>
        <v>9.09</v>
      </c>
      <c r="AG118" s="314">
        <v>0</v>
      </c>
      <c r="AH118" s="314">
        <v>9</v>
      </c>
      <c r="AI118" s="314">
        <v>0</v>
      </c>
      <c r="AJ118" s="317">
        <f>AM118+AO118</f>
        <v>0</v>
      </c>
      <c r="AK118" s="314">
        <v>0</v>
      </c>
      <c r="AL118" s="314">
        <v>0</v>
      </c>
      <c r="AM118" s="314">
        <v>0</v>
      </c>
      <c r="AN118" s="314">
        <v>0</v>
      </c>
      <c r="AO118" s="314">
        <v>0</v>
      </c>
      <c r="AP118" s="314">
        <f aca="true" t="shared" si="86" ref="AP118:AQ121">(AG118+AI118)*1%</f>
        <v>0</v>
      </c>
      <c r="AQ118" s="314">
        <f t="shared" si="86"/>
        <v>0.09</v>
      </c>
      <c r="AR118" s="314">
        <f aca="true" t="shared" si="87" ref="AR118:AS121">AP118*6</f>
        <v>0</v>
      </c>
      <c r="AS118" s="314">
        <f t="shared" si="87"/>
        <v>0.54</v>
      </c>
      <c r="AU118" s="289"/>
    </row>
    <row r="119" spans="1:47" ht="13.5" customHeight="1">
      <c r="A119" s="470"/>
      <c r="B119" s="294"/>
      <c r="C119" s="175" t="s">
        <v>287</v>
      </c>
      <c r="D119" s="314">
        <v>47.55620460000014</v>
      </c>
      <c r="E119" s="314">
        <f>K119+L119+AR119+AS119</f>
        <v>40.732800000000005</v>
      </c>
      <c r="F119" s="314">
        <f>K119+L119</f>
        <v>40.620000000000005</v>
      </c>
      <c r="G119" s="329">
        <v>19</v>
      </c>
      <c r="H119" s="329">
        <v>2</v>
      </c>
      <c r="I119" s="329">
        <v>16</v>
      </c>
      <c r="J119" s="329">
        <v>2</v>
      </c>
      <c r="K119" s="314">
        <f>(M119+O119+P119+Q119+S119+U119)*6</f>
        <v>37.2</v>
      </c>
      <c r="L119" s="314">
        <f>(N119+R119+T119+V119)*6</f>
        <v>3.42</v>
      </c>
      <c r="M119" s="314">
        <v>4.06</v>
      </c>
      <c r="N119" s="314">
        <v>0.38</v>
      </c>
      <c r="O119" s="314">
        <v>0</v>
      </c>
      <c r="P119" s="314">
        <v>0.19</v>
      </c>
      <c r="Q119" s="314">
        <v>0</v>
      </c>
      <c r="R119" s="314">
        <v>0</v>
      </c>
      <c r="S119" s="314">
        <v>0.99</v>
      </c>
      <c r="T119" s="314">
        <v>0.1</v>
      </c>
      <c r="U119" s="314">
        <v>0.96</v>
      </c>
      <c r="V119" s="314">
        <v>0.09</v>
      </c>
      <c r="W119" s="314"/>
      <c r="X119" s="329">
        <v>7</v>
      </c>
      <c r="Y119" s="329">
        <v>2</v>
      </c>
      <c r="Z119" s="314">
        <v>7.35</v>
      </c>
      <c r="AA119" s="329">
        <v>19</v>
      </c>
      <c r="AB119" s="329">
        <v>2</v>
      </c>
      <c r="AC119" s="329">
        <v>6</v>
      </c>
      <c r="AD119" s="329">
        <v>2</v>
      </c>
      <c r="AE119" s="314">
        <f t="shared" si="85"/>
        <v>1.515</v>
      </c>
      <c r="AF119" s="314">
        <f t="shared" si="85"/>
        <v>0.38380000000000003</v>
      </c>
      <c r="AG119" s="314">
        <v>1.48</v>
      </c>
      <c r="AH119" s="314">
        <v>0.38</v>
      </c>
      <c r="AI119" s="314">
        <f>AK119+AL119+AN119</f>
        <v>0.02</v>
      </c>
      <c r="AJ119" s="314">
        <f>AM119+AO119</f>
        <v>0</v>
      </c>
      <c r="AK119" s="314">
        <v>0.02</v>
      </c>
      <c r="AL119" s="314">
        <v>0</v>
      </c>
      <c r="AM119" s="314">
        <v>0</v>
      </c>
      <c r="AN119" s="314">
        <v>0</v>
      </c>
      <c r="AO119" s="314">
        <v>0</v>
      </c>
      <c r="AP119" s="314">
        <f t="shared" si="86"/>
        <v>0.015</v>
      </c>
      <c r="AQ119" s="314">
        <f t="shared" si="86"/>
        <v>0.0038</v>
      </c>
      <c r="AR119" s="314">
        <f t="shared" si="87"/>
        <v>0.09</v>
      </c>
      <c r="AS119" s="314">
        <f t="shared" si="87"/>
        <v>0.0228</v>
      </c>
      <c r="AU119" s="289"/>
    </row>
    <row r="120" spans="1:47" ht="13.5" customHeight="1">
      <c r="A120" s="470"/>
      <c r="B120" s="294"/>
      <c r="C120" s="175" t="s">
        <v>288</v>
      </c>
      <c r="D120" s="314">
        <v>47.190600000000074</v>
      </c>
      <c r="E120" s="314">
        <f>K120+L120+AR120+AS120</f>
        <v>49.49999999999999</v>
      </c>
      <c r="F120" s="314">
        <f>K120+L120</f>
        <v>49.49999999999999</v>
      </c>
      <c r="G120" s="329">
        <v>18</v>
      </c>
      <c r="H120" s="329">
        <v>2</v>
      </c>
      <c r="I120" s="329">
        <v>16</v>
      </c>
      <c r="J120" s="329">
        <v>2</v>
      </c>
      <c r="K120" s="314">
        <f>(M120+O120+P120+Q120+S120+U120)*6</f>
        <v>45.599999999999994</v>
      </c>
      <c r="L120" s="314">
        <f>(N120+R120+T120+V120)*6</f>
        <v>3.9000000000000004</v>
      </c>
      <c r="M120" s="314">
        <v>4.88</v>
      </c>
      <c r="N120" s="314">
        <v>0.44</v>
      </c>
      <c r="O120" s="314">
        <v>0</v>
      </c>
      <c r="P120" s="314">
        <v>0.24</v>
      </c>
      <c r="Q120" s="314">
        <v>0</v>
      </c>
      <c r="R120" s="314">
        <v>0</v>
      </c>
      <c r="S120" s="314">
        <v>1.33</v>
      </c>
      <c r="T120" s="314">
        <v>0.11</v>
      </c>
      <c r="U120" s="314">
        <v>1.15</v>
      </c>
      <c r="V120" s="314">
        <v>0.1</v>
      </c>
      <c r="W120" s="314"/>
      <c r="X120" s="329"/>
      <c r="Y120" s="329"/>
      <c r="Z120" s="314">
        <v>0</v>
      </c>
      <c r="AA120" s="329">
        <v>0</v>
      </c>
      <c r="AB120" s="329">
        <v>0</v>
      </c>
      <c r="AC120" s="329">
        <v>0</v>
      </c>
      <c r="AD120" s="329">
        <v>0</v>
      </c>
      <c r="AE120" s="314">
        <f t="shared" si="85"/>
        <v>0</v>
      </c>
      <c r="AF120" s="314">
        <f t="shared" si="85"/>
        <v>0</v>
      </c>
      <c r="AG120" s="314">
        <v>0</v>
      </c>
      <c r="AH120" s="314">
        <v>0</v>
      </c>
      <c r="AI120" s="314">
        <f>AK120+AL120+AN120</f>
        <v>0</v>
      </c>
      <c r="AJ120" s="314">
        <f>AM120+AO120</f>
        <v>0</v>
      </c>
      <c r="AK120" s="314">
        <v>0</v>
      </c>
      <c r="AL120" s="314">
        <v>0</v>
      </c>
      <c r="AM120" s="314">
        <v>0</v>
      </c>
      <c r="AN120" s="314">
        <v>0</v>
      </c>
      <c r="AO120" s="314">
        <v>0</v>
      </c>
      <c r="AP120" s="314">
        <f t="shared" si="86"/>
        <v>0</v>
      </c>
      <c r="AQ120" s="314">
        <f t="shared" si="86"/>
        <v>0</v>
      </c>
      <c r="AR120" s="314">
        <f t="shared" si="87"/>
        <v>0</v>
      </c>
      <c r="AS120" s="314">
        <f t="shared" si="87"/>
        <v>0</v>
      </c>
      <c r="AU120" s="289"/>
    </row>
    <row r="121" spans="1:47" ht="13.5" customHeight="1">
      <c r="A121" s="470"/>
      <c r="B121" s="294"/>
      <c r="C121" s="175" t="s">
        <v>289</v>
      </c>
      <c r="D121" s="314">
        <v>63.58307220000007</v>
      </c>
      <c r="E121" s="314">
        <f>K121+L121+AR121+AS121</f>
        <v>65.8674</v>
      </c>
      <c r="F121" s="314">
        <f>K121+L121</f>
        <v>65.82000000000001</v>
      </c>
      <c r="G121" s="329">
        <v>21</v>
      </c>
      <c r="H121" s="329">
        <v>4</v>
      </c>
      <c r="I121" s="329">
        <v>21</v>
      </c>
      <c r="J121" s="329">
        <v>4</v>
      </c>
      <c r="K121" s="314">
        <f>(M121+O121+P121+Q121+S121+U121)*6</f>
        <v>58.74000000000001</v>
      </c>
      <c r="L121" s="314">
        <f>(N121+R121+T121+V121)*6</f>
        <v>7.08</v>
      </c>
      <c r="M121" s="314">
        <v>6.28</v>
      </c>
      <c r="N121" s="314">
        <v>0.75</v>
      </c>
      <c r="O121" s="314">
        <v>0</v>
      </c>
      <c r="P121" s="314">
        <v>0.29</v>
      </c>
      <c r="Q121" s="314">
        <v>0.07</v>
      </c>
      <c r="R121" s="314">
        <v>0.04</v>
      </c>
      <c r="S121" s="314">
        <v>1.66</v>
      </c>
      <c r="T121" s="314">
        <v>0.2</v>
      </c>
      <c r="U121" s="314">
        <v>1.49</v>
      </c>
      <c r="V121" s="314">
        <v>0.19</v>
      </c>
      <c r="W121" s="314"/>
      <c r="X121" s="329"/>
      <c r="Y121" s="329"/>
      <c r="Z121" s="314">
        <v>0</v>
      </c>
      <c r="AA121" s="329">
        <v>0</v>
      </c>
      <c r="AB121" s="329">
        <v>4</v>
      </c>
      <c r="AC121" s="329">
        <v>0</v>
      </c>
      <c r="AD121" s="329">
        <v>4</v>
      </c>
      <c r="AE121" s="314">
        <f t="shared" si="85"/>
        <v>0.0404</v>
      </c>
      <c r="AF121" s="314">
        <f t="shared" si="85"/>
        <v>0.7575</v>
      </c>
      <c r="AG121" s="314">
        <v>0</v>
      </c>
      <c r="AH121" s="314">
        <v>0.75</v>
      </c>
      <c r="AI121" s="314">
        <f>AK121+AL121+AN121</f>
        <v>0.04</v>
      </c>
      <c r="AJ121" s="314">
        <f>AM121+AO121</f>
        <v>0</v>
      </c>
      <c r="AK121" s="314">
        <v>0</v>
      </c>
      <c r="AL121" s="314">
        <v>0.04</v>
      </c>
      <c r="AM121" s="314">
        <v>0</v>
      </c>
      <c r="AN121" s="314">
        <v>0</v>
      </c>
      <c r="AO121" s="314">
        <v>0</v>
      </c>
      <c r="AP121" s="314">
        <f t="shared" si="86"/>
        <v>0.0004</v>
      </c>
      <c r="AQ121" s="314">
        <f t="shared" si="86"/>
        <v>0.0075</v>
      </c>
      <c r="AR121" s="314">
        <f t="shared" si="87"/>
        <v>0.0024000000000000002</v>
      </c>
      <c r="AS121" s="314">
        <f t="shared" si="87"/>
        <v>0.045</v>
      </c>
      <c r="AU121" s="289"/>
    </row>
    <row r="122" spans="1:47" s="132" customFormat="1" ht="13.5" customHeight="1">
      <c r="A122" s="468"/>
      <c r="B122" s="325"/>
      <c r="C122" s="129" t="s">
        <v>134</v>
      </c>
      <c r="D122" s="317">
        <v>167.97029999999987</v>
      </c>
      <c r="E122" s="342">
        <f>SUM(E123:E124)</f>
        <v>141.31060589999998</v>
      </c>
      <c r="F122" s="342">
        <f aca="true" t="shared" si="88" ref="F122:AS122">SUM(F123:F124)</f>
        <v>141.2338059</v>
      </c>
      <c r="G122" s="342">
        <f t="shared" si="88"/>
        <v>50</v>
      </c>
      <c r="H122" s="342">
        <f t="shared" si="88"/>
        <v>5</v>
      </c>
      <c r="I122" s="342">
        <f t="shared" si="88"/>
        <v>50</v>
      </c>
      <c r="J122" s="342">
        <f t="shared" si="88"/>
        <v>5</v>
      </c>
      <c r="K122" s="342">
        <f t="shared" si="88"/>
        <v>132.3440289</v>
      </c>
      <c r="L122" s="342">
        <f t="shared" si="88"/>
        <v>8.889776999999999</v>
      </c>
      <c r="M122" s="342">
        <f t="shared" si="88"/>
        <v>15.7158</v>
      </c>
      <c r="N122" s="342">
        <f t="shared" si="88"/>
        <v>1.1997</v>
      </c>
      <c r="O122" s="342">
        <f t="shared" si="88"/>
        <v>0</v>
      </c>
      <c r="P122" s="342">
        <f t="shared" si="88"/>
        <v>1.026</v>
      </c>
      <c r="Q122" s="342">
        <f t="shared" si="88"/>
        <v>0.067374</v>
      </c>
      <c r="R122" s="342">
        <f t="shared" si="88"/>
        <v>0</v>
      </c>
      <c r="S122" s="342">
        <f t="shared" si="88"/>
        <v>1.4661</v>
      </c>
      <c r="T122" s="342">
        <f t="shared" si="88"/>
        <v>0</v>
      </c>
      <c r="U122" s="342">
        <f t="shared" si="88"/>
        <v>3.78206415</v>
      </c>
      <c r="V122" s="342">
        <f t="shared" si="88"/>
        <v>0.2819295</v>
      </c>
      <c r="W122" s="342">
        <f t="shared" si="88"/>
        <v>0</v>
      </c>
      <c r="X122" s="342">
        <f t="shared" si="88"/>
        <v>40</v>
      </c>
      <c r="Y122" s="342">
        <f t="shared" si="88"/>
        <v>5</v>
      </c>
      <c r="Z122" s="342">
        <f t="shared" si="88"/>
        <v>40</v>
      </c>
      <c r="AA122" s="342">
        <f t="shared" si="88"/>
        <v>5</v>
      </c>
      <c r="AB122" s="342">
        <f t="shared" si="88"/>
        <v>0</v>
      </c>
      <c r="AC122" s="342">
        <f t="shared" si="88"/>
        <v>1.1997</v>
      </c>
      <c r="AD122" s="342">
        <f t="shared" si="88"/>
        <v>0</v>
      </c>
      <c r="AE122" s="342">
        <f t="shared" si="88"/>
        <v>0.0808</v>
      </c>
      <c r="AF122" s="342">
        <f t="shared" si="88"/>
        <v>1.212</v>
      </c>
      <c r="AG122" s="342">
        <f t="shared" si="88"/>
        <v>0</v>
      </c>
      <c r="AH122" s="342">
        <f t="shared" si="88"/>
        <v>1.2</v>
      </c>
      <c r="AI122" s="342">
        <f t="shared" si="88"/>
        <v>0.08</v>
      </c>
      <c r="AJ122" s="342">
        <f t="shared" si="88"/>
        <v>0</v>
      </c>
      <c r="AK122" s="342">
        <f t="shared" si="88"/>
        <v>0</v>
      </c>
      <c r="AL122" s="342">
        <f t="shared" si="88"/>
        <v>0.08</v>
      </c>
      <c r="AM122" s="342">
        <f t="shared" si="88"/>
        <v>0</v>
      </c>
      <c r="AN122" s="342">
        <f t="shared" si="88"/>
        <v>0</v>
      </c>
      <c r="AO122" s="342">
        <f t="shared" si="88"/>
        <v>0</v>
      </c>
      <c r="AP122" s="342">
        <f t="shared" si="88"/>
        <v>0.0008</v>
      </c>
      <c r="AQ122" s="342">
        <f t="shared" si="88"/>
        <v>0.012</v>
      </c>
      <c r="AR122" s="342">
        <f t="shared" si="88"/>
        <v>0.0048000000000000004</v>
      </c>
      <c r="AS122" s="342">
        <f t="shared" si="88"/>
        <v>0.07200000000000001</v>
      </c>
      <c r="AU122" s="140"/>
    </row>
    <row r="123" spans="1:47" s="256" customFormat="1" ht="13.5" customHeight="1">
      <c r="A123" s="475"/>
      <c r="B123" s="360"/>
      <c r="C123" s="315" t="s">
        <v>286</v>
      </c>
      <c r="D123" s="338">
        <v>142.03229999999988</v>
      </c>
      <c r="E123" s="338">
        <f>K123+L123+AR123+AS123</f>
        <v>116.03782589999999</v>
      </c>
      <c r="F123" s="338">
        <f>K123+L123</f>
        <v>115.96342589999999</v>
      </c>
      <c r="G123" s="411">
        <v>40</v>
      </c>
      <c r="H123" s="411">
        <v>5</v>
      </c>
      <c r="I123" s="411">
        <v>40</v>
      </c>
      <c r="J123" s="411">
        <v>5</v>
      </c>
      <c r="K123" s="338">
        <f>(M123+O123+P123+Q123+S123+U123)*6</f>
        <v>107.0736489</v>
      </c>
      <c r="L123" s="338">
        <f>(N123+R123+T123+V123)*6</f>
        <v>8.889776999999999</v>
      </c>
      <c r="M123" s="338">
        <v>13.077</v>
      </c>
      <c r="N123" s="338">
        <v>1.1997</v>
      </c>
      <c r="O123" s="338"/>
      <c r="P123" s="338">
        <v>0.846</v>
      </c>
      <c r="Q123" s="338">
        <v>0.067374</v>
      </c>
      <c r="R123" s="338"/>
      <c r="S123" s="338">
        <v>0.7074</v>
      </c>
      <c r="T123" s="338"/>
      <c r="U123" s="338">
        <v>3.14783415</v>
      </c>
      <c r="V123" s="338">
        <v>0.2819295</v>
      </c>
      <c r="W123" s="338"/>
      <c r="X123" s="411">
        <v>40</v>
      </c>
      <c r="Y123" s="411">
        <v>5</v>
      </c>
      <c r="Z123" s="411">
        <v>40</v>
      </c>
      <c r="AA123" s="411">
        <v>5</v>
      </c>
      <c r="AB123" s="412"/>
      <c r="AC123" s="411">
        <v>1.1997</v>
      </c>
      <c r="AD123" s="413"/>
      <c r="AE123" s="338">
        <f t="shared" si="85"/>
        <v>0.0404</v>
      </c>
      <c r="AF123" s="338">
        <f>AH123+AJ123+AQ123</f>
        <v>1.212</v>
      </c>
      <c r="AG123" s="338">
        <v>0</v>
      </c>
      <c r="AH123" s="338">
        <v>1.2</v>
      </c>
      <c r="AI123" s="338">
        <f>AK123+AL123+AN123</f>
        <v>0.04</v>
      </c>
      <c r="AJ123" s="338">
        <f>AM123+AO123</f>
        <v>0</v>
      </c>
      <c r="AK123" s="338">
        <v>0</v>
      </c>
      <c r="AL123" s="338">
        <v>0.04</v>
      </c>
      <c r="AM123" s="338">
        <v>0</v>
      </c>
      <c r="AN123" s="338">
        <v>0</v>
      </c>
      <c r="AO123" s="338">
        <v>0</v>
      </c>
      <c r="AP123" s="338">
        <f>(AG123+AI123)*1%</f>
        <v>0.0004</v>
      </c>
      <c r="AQ123" s="338">
        <f>(AH123+AJ123)*1%</f>
        <v>0.012</v>
      </c>
      <c r="AR123" s="338">
        <f>AP123*6</f>
        <v>0.0024000000000000002</v>
      </c>
      <c r="AS123" s="338">
        <f>AQ123*6</f>
        <v>0.07200000000000001</v>
      </c>
      <c r="AU123" s="257"/>
    </row>
    <row r="124" spans="1:47" s="256" customFormat="1" ht="13.5" customHeight="1">
      <c r="A124" s="475"/>
      <c r="B124" s="360"/>
      <c r="C124" s="315" t="s">
        <v>290</v>
      </c>
      <c r="D124" s="338">
        <v>25.938000000000002</v>
      </c>
      <c r="E124" s="338">
        <f>K124+L124+AR124+AS124</f>
        <v>25.272780000000004</v>
      </c>
      <c r="F124" s="338">
        <f>K124+L124</f>
        <v>25.270380000000003</v>
      </c>
      <c r="G124" s="414">
        <v>10</v>
      </c>
      <c r="H124" s="414">
        <v>0</v>
      </c>
      <c r="I124" s="414">
        <v>10</v>
      </c>
      <c r="J124" s="414">
        <v>0</v>
      </c>
      <c r="K124" s="338">
        <f>(M124+O124+P124+Q124+S124+U124)*6</f>
        <v>25.270380000000003</v>
      </c>
      <c r="L124" s="338">
        <f>(N124+R124+T124+V124)*6</f>
        <v>0</v>
      </c>
      <c r="M124" s="338">
        <v>2.6388</v>
      </c>
      <c r="N124" s="338"/>
      <c r="O124" s="338"/>
      <c r="P124" s="338">
        <v>0.18</v>
      </c>
      <c r="Q124" s="338"/>
      <c r="R124" s="338"/>
      <c r="S124" s="338">
        <v>0.7587</v>
      </c>
      <c r="T124" s="338"/>
      <c r="U124" s="338">
        <v>0.63423</v>
      </c>
      <c r="V124" s="338"/>
      <c r="W124" s="338"/>
      <c r="X124" s="414"/>
      <c r="Y124" s="414"/>
      <c r="Z124" s="414"/>
      <c r="AA124" s="414"/>
      <c r="AB124" s="414"/>
      <c r="AC124" s="414"/>
      <c r="AD124" s="415"/>
      <c r="AE124" s="338">
        <f t="shared" si="85"/>
        <v>0.0404</v>
      </c>
      <c r="AF124" s="338">
        <f>AH124+AJ124+AQ124</f>
        <v>0</v>
      </c>
      <c r="AG124" s="338">
        <v>0</v>
      </c>
      <c r="AH124" s="338">
        <v>0</v>
      </c>
      <c r="AI124" s="338">
        <f>AK124+AL124+AN124</f>
        <v>0.04</v>
      </c>
      <c r="AJ124" s="338">
        <f>AM124+AO124</f>
        <v>0</v>
      </c>
      <c r="AK124" s="338">
        <v>0</v>
      </c>
      <c r="AL124" s="338">
        <v>0.04</v>
      </c>
      <c r="AM124" s="338">
        <v>0</v>
      </c>
      <c r="AN124" s="338">
        <v>0</v>
      </c>
      <c r="AO124" s="338">
        <v>0</v>
      </c>
      <c r="AP124" s="338">
        <f>(AG124+AI124)*1%</f>
        <v>0.0004</v>
      </c>
      <c r="AQ124" s="338">
        <f>(AH124+AJ124)*1%</f>
        <v>0</v>
      </c>
      <c r="AR124" s="338">
        <f>AP124*6</f>
        <v>0.0024000000000000002</v>
      </c>
      <c r="AS124" s="338">
        <f>AQ124*6</f>
        <v>0</v>
      </c>
      <c r="AU124" s="257"/>
    </row>
    <row r="125" spans="1:47" s="132" customFormat="1" ht="13.5" customHeight="1">
      <c r="A125" s="468"/>
      <c r="B125" s="325"/>
      <c r="C125" s="129" t="s">
        <v>229</v>
      </c>
      <c r="D125" s="317">
        <v>274.45000000000005</v>
      </c>
      <c r="E125" s="342">
        <f>SUM(E126:E128)</f>
        <v>399.4356</v>
      </c>
      <c r="F125" s="342">
        <f aca="true" t="shared" si="89" ref="F125:AS125">SUM(F126:F128)</f>
        <v>399.39</v>
      </c>
      <c r="G125" s="370">
        <f t="shared" si="89"/>
        <v>119</v>
      </c>
      <c r="H125" s="370">
        <f t="shared" si="89"/>
        <v>82</v>
      </c>
      <c r="I125" s="370">
        <f t="shared" si="89"/>
        <v>117</v>
      </c>
      <c r="J125" s="370">
        <f t="shared" si="89"/>
        <v>82</v>
      </c>
      <c r="K125" s="342">
        <f t="shared" si="89"/>
        <v>379.91999999999996</v>
      </c>
      <c r="L125" s="342">
        <f t="shared" si="89"/>
        <v>19.47</v>
      </c>
      <c r="M125" s="342">
        <f t="shared" si="89"/>
        <v>37.405</v>
      </c>
      <c r="N125" s="342">
        <f t="shared" si="89"/>
        <v>2.167</v>
      </c>
      <c r="O125" s="342">
        <f t="shared" si="89"/>
        <v>0</v>
      </c>
      <c r="P125" s="342">
        <f t="shared" si="89"/>
        <v>1.2080000000000002</v>
      </c>
      <c r="Q125" s="342">
        <f t="shared" si="89"/>
        <v>0.587</v>
      </c>
      <c r="R125" s="342">
        <f t="shared" si="89"/>
        <v>0.038</v>
      </c>
      <c r="S125" s="342">
        <f t="shared" si="89"/>
        <v>15.950000000000001</v>
      </c>
      <c r="T125" s="342">
        <f t="shared" si="89"/>
        <v>0.55</v>
      </c>
      <c r="U125" s="342">
        <f t="shared" si="89"/>
        <v>8.17</v>
      </c>
      <c r="V125" s="342">
        <f t="shared" si="89"/>
        <v>0.49</v>
      </c>
      <c r="W125" s="342"/>
      <c r="X125" s="342">
        <f t="shared" si="89"/>
        <v>0</v>
      </c>
      <c r="Y125" s="342">
        <f t="shared" si="89"/>
        <v>0.33</v>
      </c>
      <c r="Z125" s="342">
        <f t="shared" si="89"/>
        <v>0</v>
      </c>
      <c r="AA125" s="342">
        <f t="shared" si="89"/>
        <v>42</v>
      </c>
      <c r="AB125" s="342">
        <f t="shared" si="89"/>
        <v>3</v>
      </c>
      <c r="AC125" s="342">
        <f t="shared" si="89"/>
        <v>41</v>
      </c>
      <c r="AD125" s="342">
        <f t="shared" si="89"/>
        <v>3</v>
      </c>
      <c r="AE125" s="342">
        <f t="shared" si="89"/>
        <v>0</v>
      </c>
      <c r="AF125" s="342">
        <f t="shared" si="89"/>
        <v>0.7676000000000001</v>
      </c>
      <c r="AG125" s="342">
        <f t="shared" si="89"/>
        <v>0</v>
      </c>
      <c r="AH125" s="342">
        <f t="shared" si="89"/>
        <v>0.72</v>
      </c>
      <c r="AI125" s="342">
        <f t="shared" si="89"/>
        <v>0</v>
      </c>
      <c r="AJ125" s="342">
        <f t="shared" si="89"/>
        <v>0.04</v>
      </c>
      <c r="AK125" s="342">
        <f t="shared" si="89"/>
        <v>0</v>
      </c>
      <c r="AL125" s="342">
        <f t="shared" si="89"/>
        <v>0</v>
      </c>
      <c r="AM125" s="342">
        <f t="shared" si="89"/>
        <v>0.04</v>
      </c>
      <c r="AN125" s="342">
        <f t="shared" si="89"/>
        <v>0</v>
      </c>
      <c r="AO125" s="342">
        <f t="shared" si="89"/>
        <v>0</v>
      </c>
      <c r="AP125" s="342">
        <f t="shared" si="89"/>
        <v>0</v>
      </c>
      <c r="AQ125" s="342">
        <f t="shared" si="89"/>
        <v>0.0076</v>
      </c>
      <c r="AR125" s="342">
        <f t="shared" si="89"/>
        <v>0</v>
      </c>
      <c r="AS125" s="342">
        <f t="shared" si="89"/>
        <v>0.0456</v>
      </c>
      <c r="AU125" s="140"/>
    </row>
    <row r="126" spans="1:47" ht="13.5" customHeight="1">
      <c r="A126" s="470"/>
      <c r="B126" s="294"/>
      <c r="C126" s="173" t="s">
        <v>228</v>
      </c>
      <c r="D126" s="314">
        <v>260.16</v>
      </c>
      <c r="E126" s="314">
        <f>K126+L126+AR126+AS126</f>
        <v>248.64000000000001</v>
      </c>
      <c r="F126" s="314">
        <f>K126+L126</f>
        <v>248.64000000000001</v>
      </c>
      <c r="G126" s="329">
        <v>72</v>
      </c>
      <c r="H126" s="329">
        <v>79</v>
      </c>
      <c r="I126" s="329">
        <v>72</v>
      </c>
      <c r="J126" s="329">
        <v>79</v>
      </c>
      <c r="K126" s="314">
        <f>(M126+O126+P126+Q126+S126+U126)*6</f>
        <v>235.8</v>
      </c>
      <c r="L126" s="314">
        <f>(N126+R126+T126+V126)*6</f>
        <v>12.84</v>
      </c>
      <c r="M126" s="314">
        <v>22.12</v>
      </c>
      <c r="N126" s="314">
        <v>1.45</v>
      </c>
      <c r="O126" s="314">
        <v>0</v>
      </c>
      <c r="P126" s="314">
        <v>0.5</v>
      </c>
      <c r="Q126" s="314">
        <v>0.23</v>
      </c>
      <c r="R126" s="314">
        <v>0</v>
      </c>
      <c r="S126" s="314">
        <v>11.66</v>
      </c>
      <c r="T126" s="314">
        <v>0.36</v>
      </c>
      <c r="U126" s="314">
        <v>4.79</v>
      </c>
      <c r="V126" s="314">
        <v>0.33</v>
      </c>
      <c r="W126" s="314"/>
      <c r="X126" s="329">
        <v>0</v>
      </c>
      <c r="Y126" s="329">
        <v>0.33</v>
      </c>
      <c r="Z126" s="314">
        <v>0</v>
      </c>
      <c r="AA126" s="329">
        <v>0</v>
      </c>
      <c r="AB126" s="329">
        <v>0</v>
      </c>
      <c r="AC126" s="329">
        <v>0</v>
      </c>
      <c r="AD126" s="329">
        <v>0</v>
      </c>
      <c r="AE126" s="314">
        <f aca="true" t="shared" si="90" ref="AE126:AF128">AG126+AI126+AP126</f>
        <v>0</v>
      </c>
      <c r="AF126" s="314">
        <f t="shared" si="90"/>
        <v>0</v>
      </c>
      <c r="AG126" s="314">
        <v>0</v>
      </c>
      <c r="AH126" s="314">
        <v>0</v>
      </c>
      <c r="AI126" s="314">
        <f>AK126+AL126+AN126</f>
        <v>0</v>
      </c>
      <c r="AJ126" s="314">
        <f>AM126+AO126</f>
        <v>0</v>
      </c>
      <c r="AK126" s="314">
        <v>0</v>
      </c>
      <c r="AL126" s="314">
        <v>0</v>
      </c>
      <c r="AM126" s="314">
        <v>0</v>
      </c>
      <c r="AN126" s="314">
        <v>0</v>
      </c>
      <c r="AO126" s="314">
        <v>0</v>
      </c>
      <c r="AP126" s="314">
        <f aca="true" t="shared" si="91" ref="AP126:AQ128">(AG126+AI126)*1%</f>
        <v>0</v>
      </c>
      <c r="AQ126" s="314">
        <f t="shared" si="91"/>
        <v>0</v>
      </c>
      <c r="AR126" s="314">
        <f aca="true" t="shared" si="92" ref="AR126:AS128">AP126*6</f>
        <v>0</v>
      </c>
      <c r="AS126" s="314">
        <f t="shared" si="92"/>
        <v>0</v>
      </c>
      <c r="AU126" s="289"/>
    </row>
    <row r="127" spans="1:47" ht="13.5" customHeight="1">
      <c r="A127" s="470"/>
      <c r="B127" s="294"/>
      <c r="C127" s="175" t="s">
        <v>308</v>
      </c>
      <c r="D127" s="314">
        <v>14.29</v>
      </c>
      <c r="E127" s="314">
        <f>K127+L127+AR127+AS127</f>
        <v>11.040000000000001</v>
      </c>
      <c r="F127" s="314">
        <f>K127+L127</f>
        <v>11.040000000000001</v>
      </c>
      <c r="G127" s="329">
        <v>5</v>
      </c>
      <c r="H127" s="329">
        <v>0</v>
      </c>
      <c r="I127" s="329">
        <v>4</v>
      </c>
      <c r="J127" s="329">
        <v>0</v>
      </c>
      <c r="K127" s="314">
        <f>(M127+O127+P127+Q127+S127+U127)*6</f>
        <v>11.040000000000001</v>
      </c>
      <c r="L127" s="314">
        <f>(N127+R127+T127+V127)*6</f>
        <v>0</v>
      </c>
      <c r="M127" s="314">
        <v>1.19</v>
      </c>
      <c r="N127" s="314">
        <v>0</v>
      </c>
      <c r="O127" s="314">
        <v>0</v>
      </c>
      <c r="P127" s="314">
        <v>0.06</v>
      </c>
      <c r="Q127" s="314">
        <v>0</v>
      </c>
      <c r="R127" s="314">
        <v>0</v>
      </c>
      <c r="S127" s="314">
        <v>0.31</v>
      </c>
      <c r="T127" s="314">
        <v>0</v>
      </c>
      <c r="U127" s="314">
        <v>0.28</v>
      </c>
      <c r="V127" s="314">
        <v>0</v>
      </c>
      <c r="W127" s="314"/>
      <c r="X127" s="329">
        <v>0</v>
      </c>
      <c r="Y127" s="329">
        <v>0</v>
      </c>
      <c r="Z127" s="314">
        <v>0</v>
      </c>
      <c r="AA127" s="329">
        <v>0</v>
      </c>
      <c r="AB127" s="329">
        <v>0</v>
      </c>
      <c r="AC127" s="329">
        <v>0</v>
      </c>
      <c r="AD127" s="329">
        <v>0</v>
      </c>
      <c r="AE127" s="314">
        <f t="shared" si="90"/>
        <v>0</v>
      </c>
      <c r="AF127" s="314">
        <f t="shared" si="90"/>
        <v>0</v>
      </c>
      <c r="AG127" s="314">
        <v>0</v>
      </c>
      <c r="AH127" s="314">
        <v>0</v>
      </c>
      <c r="AI127" s="314">
        <f>AK127+AL127+AN127</f>
        <v>0</v>
      </c>
      <c r="AJ127" s="314">
        <f>AM127+AO127</f>
        <v>0</v>
      </c>
      <c r="AK127" s="314">
        <v>0</v>
      </c>
      <c r="AL127" s="314">
        <v>0</v>
      </c>
      <c r="AM127" s="314">
        <v>0</v>
      </c>
      <c r="AN127" s="314">
        <v>0</v>
      </c>
      <c r="AO127" s="314">
        <v>0</v>
      </c>
      <c r="AP127" s="314">
        <f t="shared" si="91"/>
        <v>0</v>
      </c>
      <c r="AQ127" s="314">
        <f t="shared" si="91"/>
        <v>0</v>
      </c>
      <c r="AR127" s="314">
        <f t="shared" si="92"/>
        <v>0</v>
      </c>
      <c r="AS127" s="314">
        <f t="shared" si="92"/>
        <v>0</v>
      </c>
      <c r="AU127" s="289"/>
    </row>
    <row r="128" spans="1:47" ht="13.5" customHeight="1">
      <c r="A128" s="470"/>
      <c r="B128" s="294"/>
      <c r="C128" s="173" t="s">
        <v>227</v>
      </c>
      <c r="D128" s="314">
        <v>166.44</v>
      </c>
      <c r="E128" s="314">
        <f>K128+L128+AR128+AS128</f>
        <v>139.7556</v>
      </c>
      <c r="F128" s="314">
        <f>K128+L128</f>
        <v>139.70999999999998</v>
      </c>
      <c r="G128" s="329">
        <v>42</v>
      </c>
      <c r="H128" s="329">
        <v>3</v>
      </c>
      <c r="I128" s="329">
        <v>41</v>
      </c>
      <c r="J128" s="329">
        <v>3</v>
      </c>
      <c r="K128" s="314">
        <f>(M128+O128+P128+Q128+S128+U128)*6</f>
        <v>133.07999999999998</v>
      </c>
      <c r="L128" s="314">
        <f>(N128+R128+T128+V128)*6</f>
        <v>6.63</v>
      </c>
      <c r="M128" s="314">
        <v>14.095</v>
      </c>
      <c r="N128" s="314">
        <v>0.717</v>
      </c>
      <c r="O128" s="314">
        <v>0</v>
      </c>
      <c r="P128" s="314">
        <v>0.648</v>
      </c>
      <c r="Q128" s="314">
        <v>0.357</v>
      </c>
      <c r="R128" s="314">
        <v>0.038</v>
      </c>
      <c r="S128" s="314">
        <f>0.21+3.77</f>
        <v>3.98</v>
      </c>
      <c r="T128" s="314">
        <v>0.19</v>
      </c>
      <c r="U128" s="314">
        <v>3.1</v>
      </c>
      <c r="V128" s="314">
        <v>0.16</v>
      </c>
      <c r="W128" s="314"/>
      <c r="X128" s="329"/>
      <c r="Y128" s="329"/>
      <c r="Z128" s="314"/>
      <c r="AA128" s="329">
        <v>42</v>
      </c>
      <c r="AB128" s="329">
        <v>3</v>
      </c>
      <c r="AC128" s="329">
        <v>41</v>
      </c>
      <c r="AD128" s="329">
        <v>3</v>
      </c>
      <c r="AE128" s="314">
        <f t="shared" si="90"/>
        <v>0</v>
      </c>
      <c r="AF128" s="314">
        <f t="shared" si="90"/>
        <v>0.7676000000000001</v>
      </c>
      <c r="AG128" s="314">
        <v>0</v>
      </c>
      <c r="AH128" s="314">
        <v>0.72</v>
      </c>
      <c r="AI128" s="314">
        <f>AK128+AL128+AN128</f>
        <v>0</v>
      </c>
      <c r="AJ128" s="314">
        <f>AM128+AO128</f>
        <v>0.04</v>
      </c>
      <c r="AK128" s="314">
        <v>0</v>
      </c>
      <c r="AL128" s="314">
        <v>0</v>
      </c>
      <c r="AM128" s="314">
        <v>0.04</v>
      </c>
      <c r="AN128" s="314">
        <v>0</v>
      </c>
      <c r="AO128" s="314">
        <v>0</v>
      </c>
      <c r="AP128" s="314">
        <f t="shared" si="91"/>
        <v>0</v>
      </c>
      <c r="AQ128" s="314">
        <f t="shared" si="91"/>
        <v>0.0076</v>
      </c>
      <c r="AR128" s="314">
        <f t="shared" si="92"/>
        <v>0</v>
      </c>
      <c r="AS128" s="314">
        <f t="shared" si="92"/>
        <v>0.0456</v>
      </c>
      <c r="AU128" s="289"/>
    </row>
    <row r="129" spans="1:47" s="132" customFormat="1" ht="13.5" customHeight="1">
      <c r="A129" s="468"/>
      <c r="B129" s="325"/>
      <c r="C129" s="129" t="s">
        <v>135</v>
      </c>
      <c r="D129" s="317">
        <v>977.7136000000011</v>
      </c>
      <c r="E129" s="342">
        <f>SUM(E130:E138)</f>
        <v>1163.6952</v>
      </c>
      <c r="F129" s="342">
        <f aca="true" t="shared" si="93" ref="F129:AS129">SUM(F130:F138)</f>
        <v>1162.9932000000001</v>
      </c>
      <c r="G129" s="342">
        <f t="shared" si="93"/>
        <v>264</v>
      </c>
      <c r="H129" s="342">
        <f t="shared" si="93"/>
        <v>20</v>
      </c>
      <c r="I129" s="342">
        <f t="shared" si="93"/>
        <v>257</v>
      </c>
      <c r="J129" s="342">
        <f t="shared" si="93"/>
        <v>19</v>
      </c>
      <c r="K129" s="342">
        <f t="shared" si="93"/>
        <v>1110.3192000000001</v>
      </c>
      <c r="L129" s="342">
        <f t="shared" si="93"/>
        <v>52.674</v>
      </c>
      <c r="M129" s="342">
        <f t="shared" si="93"/>
        <v>100.25999999999999</v>
      </c>
      <c r="N129" s="342">
        <f t="shared" si="93"/>
        <v>5.531000000000001</v>
      </c>
      <c r="O129" s="342">
        <f t="shared" si="93"/>
        <v>0.82</v>
      </c>
      <c r="P129" s="342">
        <f t="shared" si="93"/>
        <v>6.425000000000001</v>
      </c>
      <c r="Q129" s="342">
        <f t="shared" si="93"/>
        <v>1.646</v>
      </c>
      <c r="R129" s="342">
        <f t="shared" si="93"/>
        <v>0.07</v>
      </c>
      <c r="S129" s="342">
        <f t="shared" si="93"/>
        <v>49.52419999999999</v>
      </c>
      <c r="T129" s="342">
        <f t="shared" si="93"/>
        <v>1.9689999999999999</v>
      </c>
      <c r="U129" s="342">
        <f t="shared" si="93"/>
        <v>26.377999999999997</v>
      </c>
      <c r="V129" s="342">
        <f t="shared" si="93"/>
        <v>1.209</v>
      </c>
      <c r="W129" s="342">
        <f t="shared" si="93"/>
        <v>0</v>
      </c>
      <c r="X129" s="342">
        <f t="shared" si="93"/>
        <v>8</v>
      </c>
      <c r="Y129" s="342">
        <f t="shared" si="93"/>
        <v>11</v>
      </c>
      <c r="Z129" s="342">
        <f t="shared" si="93"/>
        <v>6.779999999999999</v>
      </c>
      <c r="AA129" s="342">
        <f t="shared" si="93"/>
        <v>126</v>
      </c>
      <c r="AB129" s="342">
        <f t="shared" si="93"/>
        <v>23</v>
      </c>
      <c r="AC129" s="342">
        <f t="shared" si="93"/>
        <v>8</v>
      </c>
      <c r="AD129" s="342">
        <f t="shared" si="93"/>
        <v>21</v>
      </c>
      <c r="AE129" s="342">
        <f t="shared" si="93"/>
        <v>0.8888</v>
      </c>
      <c r="AF129" s="342">
        <f t="shared" si="93"/>
        <v>10.9282</v>
      </c>
      <c r="AG129" s="342">
        <f t="shared" si="93"/>
        <v>0.88</v>
      </c>
      <c r="AH129" s="342">
        <f t="shared" si="93"/>
        <v>10.120999999999999</v>
      </c>
      <c r="AI129" s="342">
        <f t="shared" si="93"/>
        <v>0</v>
      </c>
      <c r="AJ129" s="342">
        <f t="shared" si="93"/>
        <v>0.6990000000000001</v>
      </c>
      <c r="AK129" s="342">
        <f t="shared" si="93"/>
        <v>0.179</v>
      </c>
      <c r="AL129" s="342">
        <f t="shared" si="93"/>
        <v>0</v>
      </c>
      <c r="AM129" s="342">
        <f t="shared" si="93"/>
        <v>0.52</v>
      </c>
      <c r="AN129" s="342">
        <f t="shared" si="93"/>
        <v>0</v>
      </c>
      <c r="AO129" s="342">
        <f t="shared" si="93"/>
        <v>0</v>
      </c>
      <c r="AP129" s="342">
        <f t="shared" si="93"/>
        <v>0.0088</v>
      </c>
      <c r="AQ129" s="342">
        <f t="shared" si="93"/>
        <v>0.1082</v>
      </c>
      <c r="AR129" s="342">
        <f t="shared" si="93"/>
        <v>0.0528</v>
      </c>
      <c r="AS129" s="342">
        <f t="shared" si="93"/>
        <v>0.6492</v>
      </c>
      <c r="AU129" s="140"/>
    </row>
    <row r="130" spans="1:47" ht="13.5" customHeight="1">
      <c r="A130" s="470"/>
      <c r="B130" s="294"/>
      <c r="C130" s="175" t="s">
        <v>276</v>
      </c>
      <c r="D130" s="314">
        <v>144.5994000000002</v>
      </c>
      <c r="E130" s="314">
        <f aca="true" t="shared" si="94" ref="E130:E138">K130+L130+AR130+AS130</f>
        <v>144.96120000000002</v>
      </c>
      <c r="F130" s="314">
        <f aca="true" t="shared" si="95" ref="F130:F138">K130+L130</f>
        <v>144.9</v>
      </c>
      <c r="G130" s="328">
        <v>41</v>
      </c>
      <c r="H130" s="328">
        <v>5</v>
      </c>
      <c r="I130" s="328">
        <v>40</v>
      </c>
      <c r="J130" s="328">
        <v>5</v>
      </c>
      <c r="K130" s="314">
        <f aca="true" t="shared" si="96" ref="K130:K138">(M130+O130+P130+Q130+S130+U130)*6</f>
        <v>135.84</v>
      </c>
      <c r="L130" s="314">
        <f aca="true" t="shared" si="97" ref="L130:L137">(N130+R130+T130+V130)*6</f>
        <v>9.06</v>
      </c>
      <c r="M130" s="313">
        <v>13.63</v>
      </c>
      <c r="N130" s="313">
        <v>1.02</v>
      </c>
      <c r="O130" s="313"/>
      <c r="P130" s="313">
        <v>0.68</v>
      </c>
      <c r="Q130" s="313">
        <v>0.33</v>
      </c>
      <c r="R130" s="313"/>
      <c r="S130" s="313">
        <v>4.68</v>
      </c>
      <c r="T130" s="313">
        <v>0.26</v>
      </c>
      <c r="U130" s="313">
        <v>3.32</v>
      </c>
      <c r="V130" s="313">
        <v>0.23</v>
      </c>
      <c r="W130" s="314"/>
      <c r="X130" s="376">
        <f aca="true" t="shared" si="98" ref="X130:AD130">X131+X132+X133+X134+X135+X136+X137+X138+X139</f>
        <v>4</v>
      </c>
      <c r="Y130" s="376">
        <f t="shared" si="98"/>
        <v>6</v>
      </c>
      <c r="Z130" s="377">
        <f t="shared" si="98"/>
        <v>3.4</v>
      </c>
      <c r="AA130" s="376">
        <f t="shared" si="98"/>
        <v>63</v>
      </c>
      <c r="AB130" s="376">
        <f t="shared" si="98"/>
        <v>12</v>
      </c>
      <c r="AC130" s="376">
        <f t="shared" si="98"/>
        <v>4</v>
      </c>
      <c r="AD130" s="376">
        <f t="shared" si="98"/>
        <v>11</v>
      </c>
      <c r="AE130" s="314">
        <f aca="true" t="shared" si="99" ref="AE130:AE138">AG130+AI130+AP130</f>
        <v>0</v>
      </c>
      <c r="AF130" s="314">
        <f aca="true" t="shared" si="100" ref="AF130:AF138">AH130+AJ130+AQ130</f>
        <v>1.0302</v>
      </c>
      <c r="AG130" s="313"/>
      <c r="AH130" s="313">
        <v>1.02</v>
      </c>
      <c r="AI130" s="313"/>
      <c r="AJ130" s="313"/>
      <c r="AK130" s="313"/>
      <c r="AL130" s="313"/>
      <c r="AM130" s="313"/>
      <c r="AN130" s="313"/>
      <c r="AO130" s="313"/>
      <c r="AP130" s="314">
        <f aca="true" t="shared" si="101" ref="AP130:AP138">(AG130+AI130)*1%</f>
        <v>0</v>
      </c>
      <c r="AQ130" s="314">
        <f aca="true" t="shared" si="102" ref="AQ130:AQ138">(AH130+AJ130)*1%</f>
        <v>0.0102</v>
      </c>
      <c r="AR130" s="314">
        <f aca="true" t="shared" si="103" ref="AR130:AR138">AP130*6</f>
        <v>0</v>
      </c>
      <c r="AS130" s="314">
        <f aca="true" t="shared" si="104" ref="AS130:AS138">AQ130*6</f>
        <v>0.061200000000000004</v>
      </c>
      <c r="AU130" s="140"/>
    </row>
    <row r="131" spans="1:47" ht="13.5" customHeight="1">
      <c r="A131" s="470"/>
      <c r="B131" s="294"/>
      <c r="C131" s="175" t="s">
        <v>351</v>
      </c>
      <c r="D131" s="314">
        <v>21.42</v>
      </c>
      <c r="E131" s="314">
        <f t="shared" si="94"/>
        <v>18.66</v>
      </c>
      <c r="F131" s="314">
        <f t="shared" si="95"/>
        <v>18.66</v>
      </c>
      <c r="G131" s="328">
        <v>7</v>
      </c>
      <c r="H131" s="328"/>
      <c r="I131" s="328">
        <v>7</v>
      </c>
      <c r="J131" s="328"/>
      <c r="K131" s="314">
        <f t="shared" si="96"/>
        <v>18.66</v>
      </c>
      <c r="L131" s="314">
        <f t="shared" si="97"/>
        <v>0</v>
      </c>
      <c r="M131" s="313">
        <v>1.02</v>
      </c>
      <c r="N131" s="313"/>
      <c r="O131" s="313"/>
      <c r="P131" s="313">
        <v>0.08</v>
      </c>
      <c r="Q131" s="313"/>
      <c r="R131" s="313"/>
      <c r="S131" s="313">
        <v>1.78</v>
      </c>
      <c r="T131" s="313"/>
      <c r="U131" s="313">
        <v>0.23</v>
      </c>
      <c r="V131" s="313"/>
      <c r="W131" s="314"/>
      <c r="X131" s="313"/>
      <c r="Y131" s="313"/>
      <c r="Z131" s="313"/>
      <c r="AA131" s="328">
        <v>41</v>
      </c>
      <c r="AB131" s="328">
        <v>5</v>
      </c>
      <c r="AC131" s="328">
        <v>0</v>
      </c>
      <c r="AD131" s="328">
        <v>5</v>
      </c>
      <c r="AE131" s="314">
        <f t="shared" si="99"/>
        <v>0</v>
      </c>
      <c r="AF131" s="314">
        <f t="shared" si="100"/>
        <v>0</v>
      </c>
      <c r="AG131" s="313"/>
      <c r="AH131" s="313"/>
      <c r="AI131" s="313"/>
      <c r="AJ131" s="313"/>
      <c r="AK131" s="313"/>
      <c r="AL131" s="313"/>
      <c r="AM131" s="313"/>
      <c r="AN131" s="313"/>
      <c r="AO131" s="313"/>
      <c r="AP131" s="314">
        <f t="shared" si="101"/>
        <v>0</v>
      </c>
      <c r="AQ131" s="314">
        <f t="shared" si="102"/>
        <v>0</v>
      </c>
      <c r="AR131" s="314">
        <f t="shared" si="103"/>
        <v>0</v>
      </c>
      <c r="AS131" s="314">
        <f t="shared" si="104"/>
        <v>0</v>
      </c>
      <c r="AU131" s="140"/>
    </row>
    <row r="132" spans="1:47" ht="13.5" customHeight="1">
      <c r="A132" s="470"/>
      <c r="B132" s="294"/>
      <c r="C132" s="175" t="s">
        <v>277</v>
      </c>
      <c r="D132" s="314">
        <v>38.400000000000034</v>
      </c>
      <c r="E132" s="314">
        <f t="shared" si="94"/>
        <v>57.17999999999999</v>
      </c>
      <c r="F132" s="314">
        <f t="shared" si="95"/>
        <v>57.17999999999999</v>
      </c>
      <c r="G132" s="328">
        <v>14</v>
      </c>
      <c r="H132" s="328">
        <v>2</v>
      </c>
      <c r="I132" s="328">
        <v>14</v>
      </c>
      <c r="J132" s="328">
        <v>2</v>
      </c>
      <c r="K132" s="314">
        <f t="shared" si="96"/>
        <v>46.019999999999996</v>
      </c>
      <c r="L132" s="314">
        <f t="shared" si="97"/>
        <v>11.16</v>
      </c>
      <c r="M132" s="313">
        <v>4.3</v>
      </c>
      <c r="N132" s="313">
        <v>0.5</v>
      </c>
      <c r="O132" s="313"/>
      <c r="P132" s="313">
        <v>0.3</v>
      </c>
      <c r="Q132" s="313">
        <v>0.11</v>
      </c>
      <c r="R132" s="313"/>
      <c r="S132" s="313">
        <v>1.5</v>
      </c>
      <c r="T132" s="313">
        <v>1.2</v>
      </c>
      <c r="U132" s="313">
        <v>1.46</v>
      </c>
      <c r="V132" s="313">
        <v>0.16</v>
      </c>
      <c r="W132" s="314"/>
      <c r="X132" s="313"/>
      <c r="Y132" s="313"/>
      <c r="Z132" s="313"/>
      <c r="AA132" s="313"/>
      <c r="AB132" s="313"/>
      <c r="AC132" s="313"/>
      <c r="AD132" s="313"/>
      <c r="AE132" s="314">
        <f t="shared" si="99"/>
        <v>0</v>
      </c>
      <c r="AF132" s="314">
        <f t="shared" si="100"/>
        <v>0</v>
      </c>
      <c r="AG132" s="313"/>
      <c r="AH132" s="313"/>
      <c r="AI132" s="313"/>
      <c r="AJ132" s="313"/>
      <c r="AK132" s="313"/>
      <c r="AL132" s="313"/>
      <c r="AM132" s="313"/>
      <c r="AN132" s="313"/>
      <c r="AO132" s="313"/>
      <c r="AP132" s="314">
        <f t="shared" si="101"/>
        <v>0</v>
      </c>
      <c r="AQ132" s="314">
        <f t="shared" si="102"/>
        <v>0</v>
      </c>
      <c r="AR132" s="314">
        <f t="shared" si="103"/>
        <v>0</v>
      </c>
      <c r="AS132" s="314">
        <f t="shared" si="104"/>
        <v>0</v>
      </c>
      <c r="AU132" s="140"/>
    </row>
    <row r="133" spans="1:47" ht="13.5" customHeight="1">
      <c r="A133" s="470"/>
      <c r="B133" s="362"/>
      <c r="C133" s="175" t="s">
        <v>278</v>
      </c>
      <c r="D133" s="314">
        <v>54.511999999999944</v>
      </c>
      <c r="E133" s="314">
        <f t="shared" si="94"/>
        <v>73.9518</v>
      </c>
      <c r="F133" s="314">
        <f t="shared" si="95"/>
        <v>73.89</v>
      </c>
      <c r="G133" s="328">
        <v>17</v>
      </c>
      <c r="H133" s="328">
        <v>3</v>
      </c>
      <c r="I133" s="328">
        <v>17</v>
      </c>
      <c r="J133" s="328">
        <v>3</v>
      </c>
      <c r="K133" s="314">
        <f t="shared" si="96"/>
        <v>67.638</v>
      </c>
      <c r="L133" s="314">
        <f t="shared" si="97"/>
        <v>6.252000000000001</v>
      </c>
      <c r="M133" s="313">
        <v>7.19</v>
      </c>
      <c r="N133" s="313">
        <v>0.851</v>
      </c>
      <c r="O133" s="313"/>
      <c r="P133" s="313">
        <v>2.353</v>
      </c>
      <c r="Q133" s="313">
        <v>0.037</v>
      </c>
      <c r="R133" s="313"/>
      <c r="S133" s="313"/>
      <c r="T133" s="313"/>
      <c r="U133" s="313">
        <v>1.693</v>
      </c>
      <c r="V133" s="313">
        <v>0.191</v>
      </c>
      <c r="W133" s="314"/>
      <c r="X133" s="313"/>
      <c r="Y133" s="313"/>
      <c r="Z133" s="313"/>
      <c r="AA133" s="313"/>
      <c r="AB133" s="313"/>
      <c r="AC133" s="313"/>
      <c r="AD133" s="313"/>
      <c r="AE133" s="314">
        <f t="shared" si="99"/>
        <v>0</v>
      </c>
      <c r="AF133" s="314">
        <f t="shared" si="100"/>
        <v>1.0403</v>
      </c>
      <c r="AG133" s="313"/>
      <c r="AH133" s="371">
        <v>0.851</v>
      </c>
      <c r="AI133" s="313"/>
      <c r="AJ133" s="371">
        <v>0.179</v>
      </c>
      <c r="AK133" s="371">
        <v>0.179</v>
      </c>
      <c r="AL133" s="313"/>
      <c r="AM133" s="313"/>
      <c r="AN133" s="313"/>
      <c r="AO133" s="313"/>
      <c r="AP133" s="314">
        <f t="shared" si="101"/>
        <v>0</v>
      </c>
      <c r="AQ133" s="314">
        <f t="shared" si="102"/>
        <v>0.0103</v>
      </c>
      <c r="AR133" s="314">
        <f t="shared" si="103"/>
        <v>0</v>
      </c>
      <c r="AS133" s="314">
        <f t="shared" si="104"/>
        <v>0.0618</v>
      </c>
      <c r="AU133" s="140"/>
    </row>
    <row r="134" spans="1:47" ht="13.5" customHeight="1">
      <c r="A134" s="470"/>
      <c r="B134" s="294"/>
      <c r="C134" s="175" t="s">
        <v>279</v>
      </c>
      <c r="D134" s="314">
        <v>64.9799999999999</v>
      </c>
      <c r="E134" s="314">
        <f t="shared" si="94"/>
        <v>52.74599999999999</v>
      </c>
      <c r="F134" s="314">
        <f t="shared" si="95"/>
        <v>52.74599999999999</v>
      </c>
      <c r="G134" s="329">
        <v>23</v>
      </c>
      <c r="H134" s="329">
        <v>2</v>
      </c>
      <c r="I134" s="329">
        <v>19</v>
      </c>
      <c r="J134" s="329">
        <v>2</v>
      </c>
      <c r="K134" s="314">
        <f t="shared" si="96"/>
        <v>51.14399999999999</v>
      </c>
      <c r="L134" s="314">
        <f t="shared" si="97"/>
        <v>1.602</v>
      </c>
      <c r="M134" s="314">
        <v>5.5</v>
      </c>
      <c r="N134" s="314">
        <v>0.21</v>
      </c>
      <c r="O134" s="314"/>
      <c r="P134" s="314">
        <v>0.27</v>
      </c>
      <c r="Q134" s="314">
        <v>0.069</v>
      </c>
      <c r="R134" s="314"/>
      <c r="S134" s="314">
        <v>1.42</v>
      </c>
      <c r="T134" s="314">
        <v>0.009</v>
      </c>
      <c r="U134" s="314">
        <v>1.265</v>
      </c>
      <c r="V134" s="314">
        <v>0.048</v>
      </c>
      <c r="W134" s="314"/>
      <c r="X134" s="313"/>
      <c r="Y134" s="313">
        <v>3</v>
      </c>
      <c r="Z134" s="313">
        <v>1.16</v>
      </c>
      <c r="AA134" s="313"/>
      <c r="AB134" s="313">
        <v>3</v>
      </c>
      <c r="AC134" s="313"/>
      <c r="AD134" s="313">
        <v>3</v>
      </c>
      <c r="AE134" s="314">
        <f t="shared" si="99"/>
        <v>0</v>
      </c>
      <c r="AF134" s="314">
        <f t="shared" si="100"/>
        <v>0</v>
      </c>
      <c r="AG134" s="313"/>
      <c r="AH134" s="313"/>
      <c r="AI134" s="313"/>
      <c r="AJ134" s="313"/>
      <c r="AK134" s="313"/>
      <c r="AL134" s="313"/>
      <c r="AM134" s="313"/>
      <c r="AN134" s="313"/>
      <c r="AO134" s="313"/>
      <c r="AP134" s="314">
        <f t="shared" si="101"/>
        <v>0</v>
      </c>
      <c r="AQ134" s="314">
        <f t="shared" si="102"/>
        <v>0</v>
      </c>
      <c r="AR134" s="314">
        <f t="shared" si="103"/>
        <v>0</v>
      </c>
      <c r="AS134" s="314">
        <f t="shared" si="104"/>
        <v>0</v>
      </c>
      <c r="AU134" s="140"/>
    </row>
    <row r="135" spans="1:47" ht="13.5" customHeight="1">
      <c r="A135" s="470"/>
      <c r="B135" s="294"/>
      <c r="C135" s="175" t="s">
        <v>280</v>
      </c>
      <c r="D135" s="314">
        <v>79.01099999999998</v>
      </c>
      <c r="E135" s="314">
        <f t="shared" si="94"/>
        <v>114.0396</v>
      </c>
      <c r="F135" s="314">
        <f t="shared" si="95"/>
        <v>113.58</v>
      </c>
      <c r="G135" s="328">
        <v>18</v>
      </c>
      <c r="H135" s="328">
        <v>2</v>
      </c>
      <c r="I135" s="328">
        <v>18</v>
      </c>
      <c r="J135" s="328">
        <v>2</v>
      </c>
      <c r="K135" s="314">
        <f t="shared" si="96"/>
        <v>105.12</v>
      </c>
      <c r="L135" s="314">
        <f t="shared" si="97"/>
        <v>8.459999999999999</v>
      </c>
      <c r="M135" s="313">
        <v>8.25</v>
      </c>
      <c r="N135" s="313">
        <v>1.14</v>
      </c>
      <c r="O135" s="313"/>
      <c r="P135" s="313">
        <v>0.42</v>
      </c>
      <c r="Q135" s="313">
        <v>0.1</v>
      </c>
      <c r="R135" s="313">
        <v>0.07</v>
      </c>
      <c r="S135" s="313">
        <v>6.81</v>
      </c>
      <c r="T135" s="313">
        <v>0.04</v>
      </c>
      <c r="U135" s="313">
        <v>1.94</v>
      </c>
      <c r="V135" s="313">
        <v>0.16</v>
      </c>
      <c r="W135" s="314"/>
      <c r="X135" s="313"/>
      <c r="Y135" s="313"/>
      <c r="Z135" s="313"/>
      <c r="AA135" s="313"/>
      <c r="AB135" s="313"/>
      <c r="AC135" s="313"/>
      <c r="AD135" s="313"/>
      <c r="AE135" s="314">
        <f t="shared" si="99"/>
        <v>0</v>
      </c>
      <c r="AF135" s="314">
        <f t="shared" si="100"/>
        <v>7.7366</v>
      </c>
      <c r="AG135" s="313"/>
      <c r="AH135" s="313">
        <v>7.14</v>
      </c>
      <c r="AI135" s="313"/>
      <c r="AJ135" s="313">
        <v>0.52</v>
      </c>
      <c r="AK135" s="313"/>
      <c r="AL135" s="313"/>
      <c r="AM135" s="313">
        <v>0.52</v>
      </c>
      <c r="AN135" s="313"/>
      <c r="AO135" s="313"/>
      <c r="AP135" s="314">
        <f t="shared" si="101"/>
        <v>0</v>
      </c>
      <c r="AQ135" s="314">
        <f t="shared" si="102"/>
        <v>0.0766</v>
      </c>
      <c r="AR135" s="314">
        <f t="shared" si="103"/>
        <v>0</v>
      </c>
      <c r="AS135" s="314">
        <f t="shared" si="104"/>
        <v>0.4596</v>
      </c>
      <c r="AU135" s="140"/>
    </row>
    <row r="136" spans="1:47" ht="13.5" customHeight="1">
      <c r="A136" s="470"/>
      <c r="B136" s="294"/>
      <c r="C136" s="175" t="s">
        <v>281</v>
      </c>
      <c r="D136" s="314">
        <v>524.0400000000009</v>
      </c>
      <c r="E136" s="314">
        <f t="shared" si="94"/>
        <v>532.2600000000001</v>
      </c>
      <c r="F136" s="314">
        <f t="shared" si="95"/>
        <v>532.2600000000001</v>
      </c>
      <c r="G136" s="328">
        <v>125</v>
      </c>
      <c r="H136" s="328">
        <v>4</v>
      </c>
      <c r="I136" s="328">
        <v>125</v>
      </c>
      <c r="J136" s="328">
        <v>4</v>
      </c>
      <c r="K136" s="314">
        <f t="shared" si="96"/>
        <v>525.9000000000001</v>
      </c>
      <c r="L136" s="314">
        <f t="shared" si="97"/>
        <v>6.359999999999999</v>
      </c>
      <c r="M136" s="313">
        <v>43.53</v>
      </c>
      <c r="N136" s="313">
        <v>0.7</v>
      </c>
      <c r="O136" s="313">
        <v>0.82</v>
      </c>
      <c r="P136" s="313">
        <v>1.3</v>
      </c>
      <c r="Q136" s="313">
        <v>1</v>
      </c>
      <c r="R136" s="313"/>
      <c r="S136" s="331">
        <v>28.8</v>
      </c>
      <c r="T136" s="331">
        <v>0.2</v>
      </c>
      <c r="U136" s="331">
        <v>12.2</v>
      </c>
      <c r="V136" s="331">
        <v>0.16</v>
      </c>
      <c r="W136" s="314"/>
      <c r="X136" s="328">
        <v>0</v>
      </c>
      <c r="Y136" s="328">
        <v>2</v>
      </c>
      <c r="Z136" s="313">
        <v>2.22</v>
      </c>
      <c r="AA136" s="328">
        <v>18</v>
      </c>
      <c r="AB136" s="328">
        <v>2</v>
      </c>
      <c r="AC136" s="313"/>
      <c r="AD136" s="313">
        <v>2</v>
      </c>
      <c r="AE136" s="314">
        <f t="shared" si="99"/>
        <v>0</v>
      </c>
      <c r="AF136" s="314">
        <f t="shared" si="100"/>
        <v>0</v>
      </c>
      <c r="AG136" s="313"/>
      <c r="AH136" s="313"/>
      <c r="AI136" s="313"/>
      <c r="AJ136" s="313"/>
      <c r="AK136" s="313"/>
      <c r="AL136" s="313"/>
      <c r="AM136" s="313"/>
      <c r="AN136" s="313"/>
      <c r="AO136" s="313"/>
      <c r="AP136" s="314">
        <f t="shared" si="101"/>
        <v>0</v>
      </c>
      <c r="AQ136" s="314">
        <f t="shared" si="102"/>
        <v>0</v>
      </c>
      <c r="AR136" s="314">
        <f t="shared" si="103"/>
        <v>0</v>
      </c>
      <c r="AS136" s="314">
        <f t="shared" si="104"/>
        <v>0</v>
      </c>
      <c r="AU136" s="140"/>
    </row>
    <row r="137" spans="1:47" ht="13.5" customHeight="1">
      <c r="A137" s="470"/>
      <c r="B137" s="294"/>
      <c r="C137" s="175" t="s">
        <v>282</v>
      </c>
      <c r="D137" s="314">
        <v>15.107999999999988</v>
      </c>
      <c r="E137" s="314">
        <f t="shared" si="94"/>
        <v>21.7728</v>
      </c>
      <c r="F137" s="314">
        <f t="shared" si="95"/>
        <v>21.72</v>
      </c>
      <c r="G137" s="328">
        <v>9</v>
      </c>
      <c r="H137" s="328">
        <v>1</v>
      </c>
      <c r="I137" s="328">
        <v>9</v>
      </c>
      <c r="J137" s="328"/>
      <c r="K137" s="314">
        <f t="shared" si="96"/>
        <v>21.72</v>
      </c>
      <c r="L137" s="314">
        <f t="shared" si="97"/>
        <v>0</v>
      </c>
      <c r="M137" s="313">
        <v>2.41</v>
      </c>
      <c r="N137" s="313"/>
      <c r="O137" s="313"/>
      <c r="P137" s="313">
        <v>0.05</v>
      </c>
      <c r="Q137" s="313"/>
      <c r="R137" s="313"/>
      <c r="S137" s="313">
        <v>0.36</v>
      </c>
      <c r="T137" s="313"/>
      <c r="U137" s="313">
        <v>0.8</v>
      </c>
      <c r="V137" s="313"/>
      <c r="W137" s="314"/>
      <c r="X137" s="313"/>
      <c r="Y137" s="313"/>
      <c r="Z137" s="313"/>
      <c r="AA137" s="313"/>
      <c r="AB137" s="313"/>
      <c r="AC137" s="313"/>
      <c r="AD137" s="313"/>
      <c r="AE137" s="314">
        <f t="shared" si="99"/>
        <v>0.8888</v>
      </c>
      <c r="AF137" s="314">
        <f t="shared" si="100"/>
        <v>0</v>
      </c>
      <c r="AG137" s="313">
        <v>0.88</v>
      </c>
      <c r="AH137" s="313"/>
      <c r="AI137" s="313"/>
      <c r="AJ137" s="313"/>
      <c r="AK137" s="313"/>
      <c r="AL137" s="313"/>
      <c r="AM137" s="313"/>
      <c r="AN137" s="313"/>
      <c r="AO137" s="313"/>
      <c r="AP137" s="314">
        <f t="shared" si="101"/>
        <v>0.0088</v>
      </c>
      <c r="AQ137" s="314">
        <f t="shared" si="102"/>
        <v>0</v>
      </c>
      <c r="AR137" s="314">
        <f t="shared" si="103"/>
        <v>0.0528</v>
      </c>
      <c r="AS137" s="314">
        <f t="shared" si="104"/>
        <v>0</v>
      </c>
      <c r="AU137" s="140"/>
    </row>
    <row r="138" spans="1:47" ht="13.5" customHeight="1">
      <c r="A138" s="470"/>
      <c r="B138" s="294"/>
      <c r="C138" s="175" t="s">
        <v>283</v>
      </c>
      <c r="D138" s="314">
        <v>19.19</v>
      </c>
      <c r="E138" s="314">
        <f t="shared" si="94"/>
        <v>148.1238</v>
      </c>
      <c r="F138" s="314">
        <f t="shared" si="95"/>
        <v>148.0572</v>
      </c>
      <c r="G138" s="328">
        <v>10</v>
      </c>
      <c r="H138" s="328">
        <v>1</v>
      </c>
      <c r="I138" s="328">
        <v>8</v>
      </c>
      <c r="J138" s="328">
        <v>1</v>
      </c>
      <c r="K138" s="314">
        <f t="shared" si="96"/>
        <v>138.2772</v>
      </c>
      <c r="L138" s="314">
        <f>(N138+R138+T138+V138)*6</f>
        <v>9.780000000000001</v>
      </c>
      <c r="M138" s="313">
        <v>14.43</v>
      </c>
      <c r="N138" s="313">
        <v>1.11</v>
      </c>
      <c r="O138" s="313"/>
      <c r="P138" s="313">
        <v>0.972</v>
      </c>
      <c r="Q138" s="313"/>
      <c r="R138" s="313"/>
      <c r="S138" s="313">
        <v>4.1742</v>
      </c>
      <c r="T138" s="313">
        <v>0.26</v>
      </c>
      <c r="U138" s="313">
        <v>3.47</v>
      </c>
      <c r="V138" s="313">
        <v>0.26</v>
      </c>
      <c r="W138" s="314"/>
      <c r="X138" s="328">
        <v>4</v>
      </c>
      <c r="Y138" s="328"/>
      <c r="Z138" s="328"/>
      <c r="AA138" s="328">
        <v>4</v>
      </c>
      <c r="AB138" s="328">
        <v>1</v>
      </c>
      <c r="AC138" s="328">
        <v>4</v>
      </c>
      <c r="AD138" s="313"/>
      <c r="AE138" s="314">
        <f t="shared" si="99"/>
        <v>0</v>
      </c>
      <c r="AF138" s="314">
        <f t="shared" si="100"/>
        <v>1.1211000000000002</v>
      </c>
      <c r="AG138" s="313"/>
      <c r="AH138" s="313">
        <v>1.11</v>
      </c>
      <c r="AI138" s="313"/>
      <c r="AJ138" s="313"/>
      <c r="AK138" s="313"/>
      <c r="AL138" s="313"/>
      <c r="AM138" s="313"/>
      <c r="AN138" s="313"/>
      <c r="AO138" s="313"/>
      <c r="AP138" s="314">
        <f t="shared" si="101"/>
        <v>0</v>
      </c>
      <c r="AQ138" s="314">
        <f t="shared" si="102"/>
        <v>0.0111</v>
      </c>
      <c r="AR138" s="314">
        <f t="shared" si="103"/>
        <v>0</v>
      </c>
      <c r="AS138" s="314">
        <f t="shared" si="104"/>
        <v>0.0666</v>
      </c>
      <c r="AU138" s="140"/>
    </row>
    <row r="139" spans="1:47" s="132" customFormat="1" ht="13.5" customHeight="1">
      <c r="A139" s="468"/>
      <c r="B139" s="325"/>
      <c r="C139" s="129" t="s">
        <v>114</v>
      </c>
      <c r="D139" s="317">
        <v>426.6</v>
      </c>
      <c r="E139" s="342">
        <f>SUM(E140:E141)</f>
        <v>273.447</v>
      </c>
      <c r="F139" s="342">
        <f aca="true" t="shared" si="105" ref="F139:AS139">SUM(F140:F141)</f>
        <v>271.8</v>
      </c>
      <c r="G139" s="370">
        <f t="shared" si="105"/>
        <v>88</v>
      </c>
      <c r="H139" s="370">
        <f t="shared" si="105"/>
        <v>7</v>
      </c>
      <c r="I139" s="370">
        <f t="shared" si="105"/>
        <v>87</v>
      </c>
      <c r="J139" s="370">
        <f t="shared" si="105"/>
        <v>8</v>
      </c>
      <c r="K139" s="342">
        <f t="shared" si="105"/>
        <v>247.26</v>
      </c>
      <c r="L139" s="342">
        <f t="shared" si="105"/>
        <v>24.54</v>
      </c>
      <c r="M139" s="342">
        <f t="shared" si="105"/>
        <v>25.52</v>
      </c>
      <c r="N139" s="342">
        <f t="shared" si="105"/>
        <v>2.9</v>
      </c>
      <c r="O139" s="342">
        <f t="shared" si="105"/>
        <v>0</v>
      </c>
      <c r="P139" s="342">
        <f t="shared" si="105"/>
        <v>1.52</v>
      </c>
      <c r="Q139" s="342">
        <f t="shared" si="105"/>
        <v>0.2</v>
      </c>
      <c r="R139" s="342">
        <f t="shared" si="105"/>
        <v>0.03</v>
      </c>
      <c r="S139" s="342">
        <f t="shared" si="105"/>
        <v>7.63</v>
      </c>
      <c r="T139" s="342">
        <f t="shared" si="105"/>
        <v>0.47</v>
      </c>
      <c r="U139" s="342">
        <f t="shared" si="105"/>
        <v>6.34</v>
      </c>
      <c r="V139" s="342">
        <f t="shared" si="105"/>
        <v>0.69</v>
      </c>
      <c r="W139" s="342"/>
      <c r="X139" s="313"/>
      <c r="Y139" s="328">
        <v>1</v>
      </c>
      <c r="Z139" s="313">
        <v>0.02</v>
      </c>
      <c r="AA139" s="313"/>
      <c r="AB139" s="328">
        <v>1</v>
      </c>
      <c r="AC139" s="328"/>
      <c r="AD139" s="328">
        <v>1</v>
      </c>
      <c r="AE139" s="342">
        <f t="shared" si="105"/>
        <v>25.1086</v>
      </c>
      <c r="AF139" s="342">
        <f t="shared" si="105"/>
        <v>2.6159</v>
      </c>
      <c r="AG139" s="342">
        <f t="shared" si="105"/>
        <v>23.21</v>
      </c>
      <c r="AH139" s="342">
        <f t="shared" si="105"/>
        <v>2.53</v>
      </c>
      <c r="AI139" s="342">
        <f t="shared" si="105"/>
        <v>1.65</v>
      </c>
      <c r="AJ139" s="342">
        <f t="shared" si="105"/>
        <v>0.06</v>
      </c>
      <c r="AK139" s="342">
        <f t="shared" si="105"/>
        <v>1.33</v>
      </c>
      <c r="AL139" s="342">
        <f t="shared" si="105"/>
        <v>0.16</v>
      </c>
      <c r="AM139" s="342">
        <f t="shared" si="105"/>
        <v>0.03</v>
      </c>
      <c r="AN139" s="342">
        <f t="shared" si="105"/>
        <v>0.16</v>
      </c>
      <c r="AO139" s="342">
        <f t="shared" si="105"/>
        <v>0.03</v>
      </c>
      <c r="AP139" s="342">
        <f t="shared" si="105"/>
        <v>0.2486</v>
      </c>
      <c r="AQ139" s="342">
        <f t="shared" si="105"/>
        <v>0.0259</v>
      </c>
      <c r="AR139" s="342">
        <f t="shared" si="105"/>
        <v>1.4916</v>
      </c>
      <c r="AS139" s="342">
        <f t="shared" si="105"/>
        <v>0.15539999999999998</v>
      </c>
      <c r="AU139" s="140"/>
    </row>
    <row r="140" spans="1:47" ht="13.5" customHeight="1">
      <c r="A140" s="470"/>
      <c r="B140" s="294"/>
      <c r="C140" s="175" t="s">
        <v>226</v>
      </c>
      <c r="D140" s="314">
        <v>402</v>
      </c>
      <c r="E140" s="314">
        <f>K140+L140+AR140+AS140</f>
        <v>247.887</v>
      </c>
      <c r="F140" s="314">
        <f>K140+L140</f>
        <v>246.24</v>
      </c>
      <c r="G140" s="329">
        <v>79</v>
      </c>
      <c r="H140" s="329">
        <v>6</v>
      </c>
      <c r="I140" s="329">
        <v>79</v>
      </c>
      <c r="J140" s="329">
        <v>6</v>
      </c>
      <c r="K140" s="314">
        <f>(M140+O140+P140+Q140+S140+U140)*6</f>
        <v>225</v>
      </c>
      <c r="L140" s="314">
        <f>(N140+R140+T140+V140)*6</f>
        <v>21.24</v>
      </c>
      <c r="M140" s="314">
        <v>23.21</v>
      </c>
      <c r="N140" s="314">
        <v>2.53</v>
      </c>
      <c r="O140" s="314">
        <v>0</v>
      </c>
      <c r="P140" s="314">
        <v>1.33</v>
      </c>
      <c r="Q140" s="314">
        <v>0.16</v>
      </c>
      <c r="R140" s="314">
        <v>0.03</v>
      </c>
      <c r="S140" s="314">
        <v>7.03</v>
      </c>
      <c r="T140" s="314">
        <v>0.38</v>
      </c>
      <c r="U140" s="314">
        <v>5.77</v>
      </c>
      <c r="V140" s="314">
        <v>0.6</v>
      </c>
      <c r="W140" s="314"/>
      <c r="X140" s="329">
        <v>79</v>
      </c>
      <c r="Y140" s="329">
        <v>6</v>
      </c>
      <c r="Z140" s="314">
        <v>0</v>
      </c>
      <c r="AA140" s="329">
        <v>79</v>
      </c>
      <c r="AB140" s="329">
        <v>6</v>
      </c>
      <c r="AC140" s="329">
        <v>79</v>
      </c>
      <c r="AD140" s="329">
        <v>6</v>
      </c>
      <c r="AE140" s="314">
        <f>AG140+AI140+AP140</f>
        <v>25.1086</v>
      </c>
      <c r="AF140" s="314">
        <f>AH140+AJ140+AQ140</f>
        <v>2.6159</v>
      </c>
      <c r="AG140" s="314">
        <v>23.21</v>
      </c>
      <c r="AH140" s="314">
        <v>2.53</v>
      </c>
      <c r="AI140" s="314">
        <f>AK140+AL140+AN140</f>
        <v>1.65</v>
      </c>
      <c r="AJ140" s="314">
        <f>AM140+AO140</f>
        <v>0.06</v>
      </c>
      <c r="AK140" s="314">
        <v>1.33</v>
      </c>
      <c r="AL140" s="314">
        <v>0.16</v>
      </c>
      <c r="AM140" s="314">
        <v>0.03</v>
      </c>
      <c r="AN140" s="314">
        <v>0.16</v>
      </c>
      <c r="AO140" s="314">
        <v>0.03</v>
      </c>
      <c r="AP140" s="314">
        <f>(AG140+AI140)*1%</f>
        <v>0.2486</v>
      </c>
      <c r="AQ140" s="314">
        <f>(AH140+AJ140)*1%</f>
        <v>0.0259</v>
      </c>
      <c r="AR140" s="314">
        <f>AP140*6</f>
        <v>1.4916</v>
      </c>
      <c r="AS140" s="314">
        <f>AQ140*6</f>
        <v>0.15539999999999998</v>
      </c>
      <c r="AU140" s="289"/>
    </row>
    <row r="141" spans="1:47" ht="13.5" customHeight="1">
      <c r="A141" s="470"/>
      <c r="B141" s="294"/>
      <c r="C141" s="175" t="s">
        <v>222</v>
      </c>
      <c r="D141" s="314">
        <v>24.60000000000001</v>
      </c>
      <c r="E141" s="314">
        <f>K141+L141+AR141+AS141</f>
        <v>25.56</v>
      </c>
      <c r="F141" s="314">
        <f>K141+L141</f>
        <v>25.56</v>
      </c>
      <c r="G141" s="329">
        <v>9</v>
      </c>
      <c r="H141" s="329">
        <v>1</v>
      </c>
      <c r="I141" s="329">
        <v>8</v>
      </c>
      <c r="J141" s="329">
        <v>2</v>
      </c>
      <c r="K141" s="314">
        <f>(M141+O141+P141+Q141+S141+U141)*6</f>
        <v>22.259999999999998</v>
      </c>
      <c r="L141" s="314">
        <f>(N141+R141+T141+V141)*6</f>
        <v>3.3</v>
      </c>
      <c r="M141" s="314">
        <v>2.31</v>
      </c>
      <c r="N141" s="314">
        <v>0.37</v>
      </c>
      <c r="O141" s="314">
        <v>0</v>
      </c>
      <c r="P141" s="314">
        <v>0.19</v>
      </c>
      <c r="Q141" s="314">
        <v>0.04</v>
      </c>
      <c r="R141" s="314">
        <v>0</v>
      </c>
      <c r="S141" s="314">
        <v>0.6</v>
      </c>
      <c r="T141" s="314">
        <v>0.09</v>
      </c>
      <c r="U141" s="314">
        <v>0.57</v>
      </c>
      <c r="V141" s="314">
        <v>0.09</v>
      </c>
      <c r="W141" s="314"/>
      <c r="X141" s="329"/>
      <c r="Y141" s="329"/>
      <c r="Z141" s="314"/>
      <c r="AA141" s="329">
        <v>0</v>
      </c>
      <c r="AB141" s="329">
        <v>0</v>
      </c>
      <c r="AC141" s="329">
        <v>0</v>
      </c>
      <c r="AD141" s="329">
        <v>0</v>
      </c>
      <c r="AE141" s="314">
        <f>AG141+AI141+AP141</f>
        <v>0</v>
      </c>
      <c r="AF141" s="314">
        <f>AH141+AJ141+AQ141</f>
        <v>0</v>
      </c>
      <c r="AG141" s="314">
        <v>0</v>
      </c>
      <c r="AH141" s="314">
        <v>0</v>
      </c>
      <c r="AI141" s="314">
        <f>AK141+AL141+AN141</f>
        <v>0</v>
      </c>
      <c r="AJ141" s="314">
        <f>AM141+AO141</f>
        <v>0</v>
      </c>
      <c r="AK141" s="314">
        <v>0</v>
      </c>
      <c r="AL141" s="314">
        <v>0</v>
      </c>
      <c r="AM141" s="314">
        <v>0</v>
      </c>
      <c r="AN141" s="314">
        <v>0</v>
      </c>
      <c r="AO141" s="314">
        <v>0</v>
      </c>
      <c r="AP141" s="314">
        <f>(AG141+AI141)*1%</f>
        <v>0</v>
      </c>
      <c r="AQ141" s="314">
        <f>(AH141+AJ141)*1%</f>
        <v>0</v>
      </c>
      <c r="AR141" s="314">
        <f>AP141*6</f>
        <v>0</v>
      </c>
      <c r="AS141" s="314">
        <f>AQ141*6</f>
        <v>0</v>
      </c>
      <c r="AU141" s="289"/>
    </row>
    <row r="142" spans="1:47" s="69" customFormat="1" ht="35.25" customHeight="1">
      <c r="A142" s="477" t="s">
        <v>440</v>
      </c>
      <c r="B142" s="455"/>
      <c r="C142" s="93" t="s">
        <v>136</v>
      </c>
      <c r="D142" s="397">
        <v>85.93193999999995</v>
      </c>
      <c r="E142" s="395"/>
      <c r="F142" s="397"/>
      <c r="G142" s="378"/>
      <c r="H142" s="378"/>
      <c r="I142" s="378"/>
      <c r="J142" s="378"/>
      <c r="K142" s="397">
        <f>+SUM(M141:U141)*6</f>
        <v>25.02</v>
      </c>
      <c r="L142" s="397"/>
      <c r="M142" s="397"/>
      <c r="N142" s="397"/>
      <c r="O142" s="397"/>
      <c r="P142" s="397"/>
      <c r="Q142" s="397"/>
      <c r="R142" s="397"/>
      <c r="S142" s="397"/>
      <c r="T142" s="397"/>
      <c r="U142" s="397"/>
      <c r="V142" s="397"/>
      <c r="W142" s="397" t="s">
        <v>590</v>
      </c>
      <c r="X142" s="378"/>
      <c r="Y142" s="378"/>
      <c r="Z142" s="397"/>
      <c r="AA142" s="378"/>
      <c r="AB142" s="378"/>
      <c r="AC142" s="378"/>
      <c r="AD142" s="378"/>
      <c r="AE142" s="397"/>
      <c r="AF142" s="397"/>
      <c r="AG142" s="397"/>
      <c r="AH142" s="397"/>
      <c r="AI142" s="397"/>
      <c r="AJ142" s="397"/>
      <c r="AK142" s="397"/>
      <c r="AL142" s="397"/>
      <c r="AM142" s="397"/>
      <c r="AN142" s="397"/>
      <c r="AO142" s="397"/>
      <c r="AP142" s="397"/>
      <c r="AQ142" s="397"/>
      <c r="AR142" s="456"/>
      <c r="AS142" s="456"/>
      <c r="AU142" s="398"/>
    </row>
    <row r="143" spans="1:47" s="132" customFormat="1" ht="13.5" customHeight="1">
      <c r="A143" s="468"/>
      <c r="B143" s="400"/>
      <c r="C143" s="129" t="s">
        <v>137</v>
      </c>
      <c r="D143" s="317">
        <v>199.6542000000003</v>
      </c>
      <c r="E143" s="317">
        <f>K143+L143+AR143+AS143</f>
        <v>197.194392</v>
      </c>
      <c r="F143" s="317">
        <f>K143+L143</f>
        <v>196.68</v>
      </c>
      <c r="G143" s="330">
        <v>65</v>
      </c>
      <c r="H143" s="330">
        <v>6</v>
      </c>
      <c r="I143" s="330">
        <v>60</v>
      </c>
      <c r="J143" s="330">
        <v>7</v>
      </c>
      <c r="K143" s="317">
        <f>(M143+O143+P143+Q143+S143+U143)*6</f>
        <v>183.72</v>
      </c>
      <c r="L143" s="317">
        <f>(N143+R143+T143+V143)*6</f>
        <v>12.959999999999997</v>
      </c>
      <c r="M143" s="317">
        <v>19.3</v>
      </c>
      <c r="N143" s="317">
        <v>1.43</v>
      </c>
      <c r="O143" s="317">
        <v>0</v>
      </c>
      <c r="P143" s="317">
        <v>1.21</v>
      </c>
      <c r="Q143" s="317">
        <v>0.04</v>
      </c>
      <c r="R143" s="317">
        <v>0.03</v>
      </c>
      <c r="S143" s="317">
        <v>5.45</v>
      </c>
      <c r="T143" s="317">
        <v>0.36</v>
      </c>
      <c r="U143" s="317">
        <v>4.62</v>
      </c>
      <c r="V143" s="317">
        <v>0.34</v>
      </c>
      <c r="W143" s="317"/>
      <c r="X143" s="330"/>
      <c r="Y143" s="330">
        <v>7</v>
      </c>
      <c r="Z143" s="317"/>
      <c r="AA143" s="330">
        <v>0</v>
      </c>
      <c r="AB143" s="330">
        <v>7</v>
      </c>
      <c r="AC143" s="330">
        <v>0</v>
      </c>
      <c r="AD143" s="330">
        <v>7</v>
      </c>
      <c r="AE143" s="317">
        <f>AG143+AI143+AP143</f>
        <v>0</v>
      </c>
      <c r="AF143" s="317">
        <f>AH143+AJ143+AQ143</f>
        <v>8.658932</v>
      </c>
      <c r="AG143" s="317">
        <v>0</v>
      </c>
      <c r="AH143" s="317">
        <v>8.548</v>
      </c>
      <c r="AI143" s="314">
        <f>AK143+AL143+AN143</f>
        <v>0</v>
      </c>
      <c r="AJ143" s="314">
        <f>AM143+AO143</f>
        <v>0.0252</v>
      </c>
      <c r="AK143" s="317">
        <v>0</v>
      </c>
      <c r="AL143" s="317">
        <v>0</v>
      </c>
      <c r="AM143" s="317">
        <v>0.0252</v>
      </c>
      <c r="AN143" s="317">
        <v>0</v>
      </c>
      <c r="AO143" s="317">
        <v>0</v>
      </c>
      <c r="AP143" s="317">
        <f>(AG143+AI143)*1%</f>
        <v>0</v>
      </c>
      <c r="AQ143" s="317">
        <f>(AH143+AJ143)*1%</f>
        <v>0.085732</v>
      </c>
      <c r="AR143" s="317">
        <f>AP143*6</f>
        <v>0</v>
      </c>
      <c r="AS143" s="317">
        <f>AQ143*6</f>
        <v>0.514392</v>
      </c>
      <c r="AU143" s="140"/>
    </row>
    <row r="144" spans="1:47" s="306" customFormat="1" ht="28.5" customHeight="1">
      <c r="A144" s="468"/>
      <c r="B144" s="325"/>
      <c r="C144" s="316" t="s">
        <v>41</v>
      </c>
      <c r="D144" s="317">
        <v>741.9893585500004</v>
      </c>
      <c r="E144" s="342">
        <f>SUM(E145:E163)</f>
        <v>858.5364599999999</v>
      </c>
      <c r="F144" s="342">
        <f aca="true" t="shared" si="106" ref="F144:AS144">SUM(F145:F163)</f>
        <v>856.698</v>
      </c>
      <c r="G144" s="342">
        <f t="shared" si="106"/>
        <v>155</v>
      </c>
      <c r="H144" s="342">
        <f t="shared" si="106"/>
        <v>33</v>
      </c>
      <c r="I144" s="342">
        <f t="shared" si="106"/>
        <v>145</v>
      </c>
      <c r="J144" s="342">
        <f t="shared" si="106"/>
        <v>34</v>
      </c>
      <c r="K144" s="342">
        <f t="shared" si="106"/>
        <v>854.2559999999999</v>
      </c>
      <c r="L144" s="342">
        <f t="shared" si="106"/>
        <v>86.05199999999999</v>
      </c>
      <c r="M144" s="342">
        <f t="shared" si="106"/>
        <v>84.593</v>
      </c>
      <c r="N144" s="342">
        <f t="shared" si="106"/>
        <v>9.814</v>
      </c>
      <c r="O144" s="342">
        <f t="shared" si="106"/>
        <v>0</v>
      </c>
      <c r="P144" s="342">
        <f t="shared" si="106"/>
        <v>5.024</v>
      </c>
      <c r="Q144" s="342">
        <f t="shared" si="106"/>
        <v>0.44</v>
      </c>
      <c r="R144" s="342">
        <f t="shared" si="106"/>
        <v>0</v>
      </c>
      <c r="S144" s="342">
        <f t="shared" si="106"/>
        <v>18.022000000000002</v>
      </c>
      <c r="T144" s="342">
        <f t="shared" si="106"/>
        <v>1.11</v>
      </c>
      <c r="U144" s="342">
        <f t="shared" si="106"/>
        <v>23.589000000000006</v>
      </c>
      <c r="V144" s="342">
        <f t="shared" si="106"/>
        <v>2.237</v>
      </c>
      <c r="W144" s="342">
        <f t="shared" si="106"/>
        <v>0</v>
      </c>
      <c r="X144" s="342">
        <f t="shared" si="106"/>
        <v>5</v>
      </c>
      <c r="Y144" s="342">
        <f t="shared" si="106"/>
        <v>8</v>
      </c>
      <c r="Z144" s="342">
        <f t="shared" si="106"/>
        <v>0.582</v>
      </c>
      <c r="AA144" s="342">
        <f t="shared" si="106"/>
        <v>7</v>
      </c>
      <c r="AB144" s="342">
        <f t="shared" si="106"/>
        <v>8</v>
      </c>
      <c r="AC144" s="342">
        <f t="shared" si="106"/>
        <v>5</v>
      </c>
      <c r="AD144" s="342">
        <f t="shared" si="106"/>
        <v>8</v>
      </c>
      <c r="AE144" s="342">
        <f t="shared" si="106"/>
        <v>7.71034</v>
      </c>
      <c r="AF144" s="342">
        <f t="shared" si="106"/>
        <v>23.237070000000003</v>
      </c>
      <c r="AG144" s="342">
        <f t="shared" si="106"/>
        <v>7.125</v>
      </c>
      <c r="AH144" s="342">
        <f t="shared" si="106"/>
        <v>22.617</v>
      </c>
      <c r="AI144" s="342">
        <f t="shared" si="106"/>
        <v>0.509</v>
      </c>
      <c r="AJ144" s="342">
        <f t="shared" si="106"/>
        <v>0.39</v>
      </c>
      <c r="AK144" s="342">
        <f t="shared" si="106"/>
        <v>0.234</v>
      </c>
      <c r="AL144" s="342">
        <f t="shared" si="106"/>
        <v>0.005</v>
      </c>
      <c r="AM144" s="342">
        <f t="shared" si="106"/>
        <v>1.467</v>
      </c>
      <c r="AN144" s="342">
        <f t="shared" si="106"/>
        <v>0.27</v>
      </c>
      <c r="AO144" s="342">
        <f t="shared" si="106"/>
        <v>0</v>
      </c>
      <c r="AP144" s="342">
        <f t="shared" si="106"/>
        <v>0.07633999999999999</v>
      </c>
      <c r="AQ144" s="342">
        <f t="shared" si="106"/>
        <v>0.23007000000000002</v>
      </c>
      <c r="AR144" s="342">
        <f t="shared" si="106"/>
        <v>0.45804</v>
      </c>
      <c r="AS144" s="342">
        <f t="shared" si="106"/>
        <v>1.3804200000000002</v>
      </c>
      <c r="AU144" s="302"/>
    </row>
    <row r="145" spans="1:47" ht="13.5" customHeight="1">
      <c r="A145" s="470"/>
      <c r="B145" s="294"/>
      <c r="C145" s="284" t="s">
        <v>138</v>
      </c>
      <c r="D145" s="314">
        <v>102</v>
      </c>
      <c r="E145" s="314">
        <f aca="true" t="shared" si="107" ref="E145:E151">K145+L145+AR145+AS145</f>
        <v>100.8</v>
      </c>
      <c r="F145" s="314">
        <f aca="true" t="shared" si="108" ref="F145:F151">K145+L145</f>
        <v>100.8</v>
      </c>
      <c r="G145" s="329">
        <v>23</v>
      </c>
      <c r="H145" s="329">
        <v>4</v>
      </c>
      <c r="I145" s="329">
        <v>23</v>
      </c>
      <c r="J145" s="329">
        <v>4</v>
      </c>
      <c r="K145" s="314">
        <f aca="true" t="shared" si="109" ref="K145:K153">(M145+O145+P145+Q145+S145+U145)*6</f>
        <v>93.24</v>
      </c>
      <c r="L145" s="314">
        <f aca="true" t="shared" si="110" ref="L145:L153">(N145+R145+T145+V145)*6</f>
        <v>7.559999999999999</v>
      </c>
      <c r="M145" s="314">
        <v>8.29</v>
      </c>
      <c r="N145" s="314">
        <v>0.77</v>
      </c>
      <c r="O145" s="314">
        <v>0</v>
      </c>
      <c r="P145" s="314">
        <v>0.59</v>
      </c>
      <c r="Q145" s="314">
        <v>0.15</v>
      </c>
      <c r="R145" s="314">
        <v>0</v>
      </c>
      <c r="S145" s="314">
        <f>2.49+0.04+2.07</f>
        <v>4.6</v>
      </c>
      <c r="T145" s="314">
        <f>0.17+0.19</f>
        <v>0.36</v>
      </c>
      <c r="U145" s="314">
        <v>1.91</v>
      </c>
      <c r="V145" s="314">
        <v>0.13</v>
      </c>
      <c r="W145" s="314"/>
      <c r="X145" s="329"/>
      <c r="Y145" s="329">
        <v>0</v>
      </c>
      <c r="Z145" s="314"/>
      <c r="AA145" s="329">
        <v>0</v>
      </c>
      <c r="AB145" s="329">
        <v>0</v>
      </c>
      <c r="AC145" s="329">
        <v>0</v>
      </c>
      <c r="AD145" s="329">
        <v>0</v>
      </c>
      <c r="AE145" s="314">
        <f>AG145+AI145+AP145</f>
        <v>0</v>
      </c>
      <c r="AF145" s="314">
        <f>AH145+AJ145+AQ145</f>
        <v>0</v>
      </c>
      <c r="AG145" s="314">
        <v>0</v>
      </c>
      <c r="AH145" s="314">
        <v>0</v>
      </c>
      <c r="AI145" s="314">
        <f>AK145+AL145+AN145</f>
        <v>0</v>
      </c>
      <c r="AJ145" s="314">
        <v>0</v>
      </c>
      <c r="AK145" s="314">
        <v>0</v>
      </c>
      <c r="AL145" s="314">
        <v>0</v>
      </c>
      <c r="AM145" s="314">
        <v>0</v>
      </c>
      <c r="AN145" s="314">
        <v>0</v>
      </c>
      <c r="AO145" s="314">
        <v>0</v>
      </c>
      <c r="AP145" s="314">
        <f>(AG145+AI145)*1%</f>
        <v>0</v>
      </c>
      <c r="AQ145" s="314">
        <f>(AH145+AJ145)*1%</f>
        <v>0</v>
      </c>
      <c r="AR145" s="314">
        <f>AP145*6</f>
        <v>0</v>
      </c>
      <c r="AS145" s="314">
        <f>AQ145*6</f>
        <v>0</v>
      </c>
      <c r="AU145" s="140"/>
    </row>
    <row r="146" spans="1:47" ht="13.5" customHeight="1">
      <c r="A146" s="470"/>
      <c r="B146" s="294"/>
      <c r="C146" s="284" t="s">
        <v>139</v>
      </c>
      <c r="D146" s="314">
        <v>78.0252</v>
      </c>
      <c r="E146" s="314">
        <f t="shared" si="107"/>
        <v>57.72</v>
      </c>
      <c r="F146" s="314">
        <f t="shared" si="108"/>
        <v>57.72</v>
      </c>
      <c r="G146" s="329">
        <v>33</v>
      </c>
      <c r="H146" s="329">
        <v>3</v>
      </c>
      <c r="I146" s="329">
        <v>30</v>
      </c>
      <c r="J146" s="329">
        <v>3</v>
      </c>
      <c r="K146" s="314">
        <f t="shared" si="109"/>
        <v>52.5</v>
      </c>
      <c r="L146" s="314">
        <f t="shared" si="110"/>
        <v>5.220000000000001</v>
      </c>
      <c r="M146" s="314">
        <v>7.44</v>
      </c>
      <c r="N146" s="314">
        <v>0.81</v>
      </c>
      <c r="O146" s="314">
        <v>0</v>
      </c>
      <c r="P146" s="314">
        <v>0.74</v>
      </c>
      <c r="Q146" s="314">
        <v>0</v>
      </c>
      <c r="R146" s="314">
        <v>0</v>
      </c>
      <c r="S146" s="314">
        <v>0.4</v>
      </c>
      <c r="T146" s="314">
        <v>0.04</v>
      </c>
      <c r="U146" s="314">
        <v>0.17</v>
      </c>
      <c r="V146" s="314">
        <v>0.02</v>
      </c>
      <c r="W146" s="314"/>
      <c r="X146" s="329"/>
      <c r="Y146" s="329">
        <v>0</v>
      </c>
      <c r="Z146" s="314"/>
      <c r="AA146" s="329">
        <v>0</v>
      </c>
      <c r="AB146" s="329">
        <v>0</v>
      </c>
      <c r="AC146" s="329">
        <v>0</v>
      </c>
      <c r="AD146" s="329">
        <v>0</v>
      </c>
      <c r="AE146" s="314">
        <f>AG146+AI146+AP146</f>
        <v>0</v>
      </c>
      <c r="AF146" s="314">
        <f>AH146+AJ146+AQ146</f>
        <v>0</v>
      </c>
      <c r="AG146" s="314">
        <v>0</v>
      </c>
      <c r="AH146" s="314">
        <v>0</v>
      </c>
      <c r="AI146" s="314">
        <f>AK146+AL146+AN146</f>
        <v>0</v>
      </c>
      <c r="AJ146" s="314">
        <v>0</v>
      </c>
      <c r="AK146" s="314">
        <v>0</v>
      </c>
      <c r="AL146" s="314">
        <v>0</v>
      </c>
      <c r="AM146" s="314">
        <v>0.39</v>
      </c>
      <c r="AN146" s="314">
        <v>0</v>
      </c>
      <c r="AO146" s="314">
        <v>0</v>
      </c>
      <c r="AP146" s="314">
        <f>(AG146+AI146)*1%</f>
        <v>0</v>
      </c>
      <c r="AQ146" s="314">
        <f>(AH146+AJ146)*1%</f>
        <v>0</v>
      </c>
      <c r="AR146" s="314">
        <f>AP146*6</f>
        <v>0</v>
      </c>
      <c r="AS146" s="314">
        <f>AQ146*6</f>
        <v>0</v>
      </c>
      <c r="AU146" s="289"/>
    </row>
    <row r="147" spans="1:47" ht="13.5" customHeight="1">
      <c r="A147" s="470"/>
      <c r="B147" s="294"/>
      <c r="C147" s="284" t="s">
        <v>140</v>
      </c>
      <c r="D147" s="314">
        <v>72.69333854999994</v>
      </c>
      <c r="E147" s="314">
        <f t="shared" si="107"/>
        <v>86.99999999999999</v>
      </c>
      <c r="F147" s="314">
        <f t="shared" si="108"/>
        <v>86.99999999999999</v>
      </c>
      <c r="G147" s="429">
        <v>20</v>
      </c>
      <c r="H147" s="429">
        <v>2</v>
      </c>
      <c r="I147" s="429">
        <v>20</v>
      </c>
      <c r="J147" s="429">
        <v>2</v>
      </c>
      <c r="K147" s="314">
        <f t="shared" si="109"/>
        <v>80.39999999999999</v>
      </c>
      <c r="L147" s="314">
        <f t="shared" si="110"/>
        <v>6.6</v>
      </c>
      <c r="M147" s="430">
        <v>7</v>
      </c>
      <c r="N147" s="405">
        <v>0.6</v>
      </c>
      <c r="O147" s="431"/>
      <c r="P147" s="430">
        <v>0.6</v>
      </c>
      <c r="Q147" s="405">
        <v>0.1</v>
      </c>
      <c r="R147" s="431"/>
      <c r="S147" s="405">
        <v>4</v>
      </c>
      <c r="T147" s="405">
        <v>0.3</v>
      </c>
      <c r="U147" s="405">
        <v>1.7</v>
      </c>
      <c r="V147" s="405">
        <v>0.2</v>
      </c>
      <c r="W147" s="314"/>
      <c r="X147" s="329"/>
      <c r="Y147" s="329"/>
      <c r="Z147" s="314"/>
      <c r="AA147" s="329"/>
      <c r="AB147" s="329"/>
      <c r="AC147" s="329"/>
      <c r="AD147" s="329"/>
      <c r="AE147" s="314"/>
      <c r="AF147" s="314"/>
      <c r="AG147" s="314"/>
      <c r="AH147" s="314"/>
      <c r="AI147" s="314"/>
      <c r="AJ147" s="314"/>
      <c r="AK147" s="314"/>
      <c r="AL147" s="314"/>
      <c r="AM147" s="314"/>
      <c r="AN147" s="314"/>
      <c r="AO147" s="314"/>
      <c r="AP147" s="314"/>
      <c r="AQ147" s="314"/>
      <c r="AR147" s="314"/>
      <c r="AS147" s="314"/>
      <c r="AU147" s="140"/>
    </row>
    <row r="148" spans="1:47" s="445" customFormat="1" ht="13.5" customHeight="1">
      <c r="A148" s="476"/>
      <c r="B148" s="440"/>
      <c r="C148" s="441" t="s">
        <v>141</v>
      </c>
      <c r="D148" s="442">
        <v>99.99000000000012</v>
      </c>
      <c r="E148" s="314">
        <f t="shared" si="107"/>
        <v>93.9</v>
      </c>
      <c r="F148" s="314">
        <f t="shared" si="108"/>
        <v>93.9</v>
      </c>
      <c r="G148" s="329">
        <v>20</v>
      </c>
      <c r="H148" s="329">
        <v>4</v>
      </c>
      <c r="I148" s="329">
        <v>18</v>
      </c>
      <c r="J148" s="329">
        <v>4</v>
      </c>
      <c r="K148" s="314">
        <f t="shared" si="109"/>
        <v>86.22</v>
      </c>
      <c r="L148" s="314">
        <f t="shared" si="110"/>
        <v>7.68</v>
      </c>
      <c r="M148" s="314">
        <v>7.39</v>
      </c>
      <c r="N148" s="314">
        <v>0.72</v>
      </c>
      <c r="O148" s="314">
        <v>0</v>
      </c>
      <c r="P148" s="314">
        <v>0.54</v>
      </c>
      <c r="Q148" s="314">
        <v>0.14</v>
      </c>
      <c r="R148" s="314">
        <v>0</v>
      </c>
      <c r="S148" s="314">
        <v>4.48</v>
      </c>
      <c r="T148" s="314">
        <v>0.4</v>
      </c>
      <c r="U148" s="314">
        <v>1.82</v>
      </c>
      <c r="V148" s="314">
        <v>0.16</v>
      </c>
      <c r="W148" s="314"/>
      <c r="X148" s="329"/>
      <c r="Y148" s="329">
        <v>0</v>
      </c>
      <c r="Z148" s="314"/>
      <c r="AA148" s="329">
        <v>0</v>
      </c>
      <c r="AB148" s="329">
        <v>0</v>
      </c>
      <c r="AC148" s="329">
        <v>0</v>
      </c>
      <c r="AD148" s="329">
        <v>0</v>
      </c>
      <c r="AE148" s="314">
        <f>AG148+AI148+AP148</f>
        <v>0</v>
      </c>
      <c r="AF148" s="314">
        <f>AH148+AJ148+AQ148</f>
        <v>0</v>
      </c>
      <c r="AG148" s="314">
        <v>0</v>
      </c>
      <c r="AH148" s="314">
        <v>0</v>
      </c>
      <c r="AI148" s="314">
        <f>AK148+AL148+AN148</f>
        <v>0</v>
      </c>
      <c r="AJ148" s="314">
        <v>0</v>
      </c>
      <c r="AK148" s="314">
        <v>0</v>
      </c>
      <c r="AL148" s="314">
        <v>0</v>
      </c>
      <c r="AM148" s="314">
        <v>0</v>
      </c>
      <c r="AN148" s="314">
        <v>0</v>
      </c>
      <c r="AO148" s="314">
        <v>0</v>
      </c>
      <c r="AP148" s="314">
        <f>(AG148+AI148)*1%</f>
        <v>0</v>
      </c>
      <c r="AQ148" s="314">
        <f>(AH148+AJ148)*1%</f>
        <v>0</v>
      </c>
      <c r="AR148" s="314">
        <f>AP148*6</f>
        <v>0</v>
      </c>
      <c r="AS148" s="314">
        <f>AQ148*6</f>
        <v>0</v>
      </c>
      <c r="AU148" s="446"/>
    </row>
    <row r="149" spans="1:47" ht="13.5" customHeight="1">
      <c r="A149" s="470"/>
      <c r="B149" s="294"/>
      <c r="C149" s="284" t="s">
        <v>142</v>
      </c>
      <c r="D149" s="314">
        <v>51.000000000000085</v>
      </c>
      <c r="E149" s="314">
        <f t="shared" si="107"/>
        <v>50.376000000000005</v>
      </c>
      <c r="F149" s="314">
        <f t="shared" si="108"/>
        <v>50.376000000000005</v>
      </c>
      <c r="G149" s="435" t="s">
        <v>84</v>
      </c>
      <c r="H149" s="435" t="s">
        <v>466</v>
      </c>
      <c r="I149" s="435" t="s">
        <v>83</v>
      </c>
      <c r="J149" s="435" t="s">
        <v>466</v>
      </c>
      <c r="K149" s="314">
        <f t="shared" si="109"/>
        <v>43.290000000000006</v>
      </c>
      <c r="L149" s="314">
        <f t="shared" si="110"/>
        <v>7.086</v>
      </c>
      <c r="M149" s="436">
        <v>4.134</v>
      </c>
      <c r="N149" s="437" t="s">
        <v>467</v>
      </c>
      <c r="O149" s="438"/>
      <c r="P149" s="436" t="s">
        <v>468</v>
      </c>
      <c r="Q149" s="437"/>
      <c r="R149" s="438"/>
      <c r="S149" s="437">
        <v>2.551</v>
      </c>
      <c r="T149" s="437" t="s">
        <v>469</v>
      </c>
      <c r="U149" s="437" t="s">
        <v>470</v>
      </c>
      <c r="V149" s="437" t="s">
        <v>471</v>
      </c>
      <c r="W149" s="439"/>
      <c r="X149" s="329"/>
      <c r="Y149" s="329"/>
      <c r="Z149" s="314"/>
      <c r="AA149" s="329"/>
      <c r="AB149" s="329"/>
      <c r="AC149" s="329"/>
      <c r="AD149" s="329"/>
      <c r="AE149" s="314"/>
      <c r="AF149" s="314"/>
      <c r="AG149" s="314"/>
      <c r="AH149" s="314"/>
      <c r="AI149" s="314"/>
      <c r="AJ149" s="314"/>
      <c r="AK149" s="314"/>
      <c r="AL149" s="314"/>
      <c r="AM149" s="314"/>
      <c r="AN149" s="314"/>
      <c r="AO149" s="314"/>
      <c r="AP149" s="314"/>
      <c r="AQ149" s="314"/>
      <c r="AR149" s="314"/>
      <c r="AS149" s="314"/>
      <c r="AU149" s="140"/>
    </row>
    <row r="150" spans="1:47" s="256" customFormat="1" ht="13.5" customHeight="1">
      <c r="A150" s="475"/>
      <c r="B150" s="360"/>
      <c r="C150" s="320" t="s">
        <v>344</v>
      </c>
      <c r="D150" s="338">
        <v>15.054000000000002</v>
      </c>
      <c r="E150" s="338">
        <f t="shared" si="107"/>
        <v>32.040000000000006</v>
      </c>
      <c r="F150" s="338">
        <f t="shared" si="108"/>
        <v>32.040000000000006</v>
      </c>
      <c r="G150" s="432">
        <v>10</v>
      </c>
      <c r="H150" s="433">
        <v>0</v>
      </c>
      <c r="I150" s="432">
        <v>10</v>
      </c>
      <c r="J150" s="432">
        <v>0</v>
      </c>
      <c r="K150" s="338">
        <f t="shared" si="109"/>
        <v>24.120000000000005</v>
      </c>
      <c r="L150" s="338">
        <f t="shared" si="110"/>
        <v>7.92</v>
      </c>
      <c r="M150" s="434">
        <v>1.51</v>
      </c>
      <c r="N150" s="434">
        <v>0.21</v>
      </c>
      <c r="O150" s="434"/>
      <c r="P150" s="434">
        <v>0.06</v>
      </c>
      <c r="Q150" s="434"/>
      <c r="R150" s="434"/>
      <c r="S150" s="434">
        <v>1.25</v>
      </c>
      <c r="T150" s="434"/>
      <c r="U150" s="434">
        <v>1.2</v>
      </c>
      <c r="V150" s="434">
        <v>1.11</v>
      </c>
      <c r="W150" s="433"/>
      <c r="X150" s="339"/>
      <c r="Y150" s="339"/>
      <c r="Z150" s="338"/>
      <c r="AA150" s="339"/>
      <c r="AB150" s="339"/>
      <c r="AC150" s="339"/>
      <c r="AD150" s="339"/>
      <c r="AE150" s="338"/>
      <c r="AF150" s="338"/>
      <c r="AG150" s="338"/>
      <c r="AH150" s="338"/>
      <c r="AI150" s="338"/>
      <c r="AJ150" s="338"/>
      <c r="AK150" s="338"/>
      <c r="AL150" s="338"/>
      <c r="AM150" s="338"/>
      <c r="AN150" s="338"/>
      <c r="AO150" s="338"/>
      <c r="AP150" s="338"/>
      <c r="AQ150" s="338"/>
      <c r="AR150" s="338"/>
      <c r="AS150" s="338"/>
      <c r="AU150" s="257"/>
    </row>
    <row r="151" spans="1:47" s="256" customFormat="1" ht="13.5" customHeight="1">
      <c r="A151" s="475"/>
      <c r="B151" s="360"/>
      <c r="C151" s="320" t="s">
        <v>143</v>
      </c>
      <c r="D151" s="338">
        <v>78.48000000000003</v>
      </c>
      <c r="E151" s="338">
        <f t="shared" si="107"/>
        <v>99.342</v>
      </c>
      <c r="F151" s="338">
        <f t="shared" si="108"/>
        <v>99.342</v>
      </c>
      <c r="G151" s="432">
        <v>14</v>
      </c>
      <c r="H151" s="433">
        <v>0</v>
      </c>
      <c r="I151" s="432">
        <v>10</v>
      </c>
      <c r="J151" s="432">
        <v>1</v>
      </c>
      <c r="K151" s="338">
        <f t="shared" si="109"/>
        <v>81.342</v>
      </c>
      <c r="L151" s="338">
        <f t="shared" si="110"/>
        <v>18</v>
      </c>
      <c r="M151" s="434">
        <f>(26.94+0.9)*0.1</f>
        <v>2.7840000000000003</v>
      </c>
      <c r="N151" s="434">
        <v>3</v>
      </c>
      <c r="O151" s="434">
        <v>0</v>
      </c>
      <c r="P151" s="434">
        <f>0.7*1.39</f>
        <v>0.9729999999999999</v>
      </c>
      <c r="Q151" s="434">
        <v>0</v>
      </c>
      <c r="R151" s="434">
        <v>0</v>
      </c>
      <c r="S151" s="434">
        <v>0</v>
      </c>
      <c r="T151" s="434">
        <v>0</v>
      </c>
      <c r="U151" s="434">
        <v>9.8</v>
      </c>
      <c r="V151" s="434">
        <v>0</v>
      </c>
      <c r="W151" s="433"/>
      <c r="X151" s="339"/>
      <c r="Y151" s="339"/>
      <c r="Z151" s="338"/>
      <c r="AA151" s="339"/>
      <c r="AB151" s="339"/>
      <c r="AC151" s="339"/>
      <c r="AD151" s="339"/>
      <c r="AE151" s="338"/>
      <c r="AF151" s="338"/>
      <c r="AG151" s="338"/>
      <c r="AH151" s="338"/>
      <c r="AI151" s="338"/>
      <c r="AJ151" s="338"/>
      <c r="AK151" s="338"/>
      <c r="AL151" s="338"/>
      <c r="AM151" s="338"/>
      <c r="AN151" s="338"/>
      <c r="AO151" s="338"/>
      <c r="AP151" s="338"/>
      <c r="AQ151" s="338"/>
      <c r="AR151" s="338"/>
      <c r="AS151" s="338"/>
      <c r="AU151" s="257"/>
    </row>
    <row r="152" spans="1:47" s="62" customFormat="1" ht="35.25" customHeight="1">
      <c r="A152" s="386" t="s">
        <v>440</v>
      </c>
      <c r="B152" s="392"/>
      <c r="C152" s="393" t="s">
        <v>144</v>
      </c>
      <c r="D152" s="394">
        <v>22.47431999999999</v>
      </c>
      <c r="E152" s="395"/>
      <c r="F152" s="394"/>
      <c r="G152" s="396"/>
      <c r="H152" s="396"/>
      <c r="I152" s="396"/>
      <c r="J152" s="396"/>
      <c r="K152" s="457">
        <f t="shared" si="109"/>
        <v>22.542</v>
      </c>
      <c r="L152" s="457">
        <f t="shared" si="110"/>
        <v>0</v>
      </c>
      <c r="M152" s="482">
        <f>(26.94+0.9)*0.1</f>
        <v>2.7840000000000003</v>
      </c>
      <c r="N152" s="394"/>
      <c r="O152" s="394"/>
      <c r="P152" s="482">
        <f>0.7*1.39</f>
        <v>0.9729999999999999</v>
      </c>
      <c r="Q152" s="394"/>
      <c r="R152" s="394"/>
      <c r="S152" s="394"/>
      <c r="T152" s="394"/>
      <c r="U152" s="394"/>
      <c r="V152" s="394"/>
      <c r="W152" s="397" t="s">
        <v>590</v>
      </c>
      <c r="X152" s="396"/>
      <c r="Y152" s="396"/>
      <c r="Z152" s="394"/>
      <c r="AA152" s="396"/>
      <c r="AB152" s="396"/>
      <c r="AC152" s="396"/>
      <c r="AD152" s="396"/>
      <c r="AE152" s="394"/>
      <c r="AF152" s="394"/>
      <c r="AG152" s="394"/>
      <c r="AH152" s="394"/>
      <c r="AI152" s="394"/>
      <c r="AJ152" s="394"/>
      <c r="AK152" s="394"/>
      <c r="AL152" s="394"/>
      <c r="AM152" s="394"/>
      <c r="AN152" s="394"/>
      <c r="AO152" s="394"/>
      <c r="AP152" s="394"/>
      <c r="AQ152" s="394"/>
      <c r="AR152" s="394"/>
      <c r="AS152" s="394"/>
      <c r="AU152" s="398"/>
    </row>
    <row r="153" spans="1:47" ht="22.5" customHeight="1">
      <c r="A153" s="284"/>
      <c r="B153" s="294"/>
      <c r="C153" s="284" t="s">
        <v>145</v>
      </c>
      <c r="D153" s="314">
        <v>9.171479999999985</v>
      </c>
      <c r="E153" s="314">
        <f>K153+L153+AR153+AS153</f>
        <v>9.24</v>
      </c>
      <c r="F153" s="314">
        <f>K153+L153</f>
        <v>9.24</v>
      </c>
      <c r="G153" s="329">
        <v>4</v>
      </c>
      <c r="H153" s="329">
        <v>1</v>
      </c>
      <c r="I153" s="329">
        <v>4</v>
      </c>
      <c r="J153" s="329">
        <v>1</v>
      </c>
      <c r="K153" s="338">
        <f t="shared" si="109"/>
        <v>9.24</v>
      </c>
      <c r="L153" s="338">
        <f t="shared" si="110"/>
        <v>0</v>
      </c>
      <c r="M153" s="478">
        <v>1.4</v>
      </c>
      <c r="N153" s="314"/>
      <c r="O153" s="314"/>
      <c r="P153" s="434"/>
      <c r="Q153" s="314"/>
      <c r="R153" s="314"/>
      <c r="S153" s="314">
        <v>0.02</v>
      </c>
      <c r="T153" s="314"/>
      <c r="U153" s="314">
        <v>0.12</v>
      </c>
      <c r="V153" s="314"/>
      <c r="W153" s="314"/>
      <c r="X153" s="329"/>
      <c r="Y153" s="329"/>
      <c r="Z153" s="314"/>
      <c r="AA153" s="329"/>
      <c r="AB153" s="329"/>
      <c r="AC153" s="329"/>
      <c r="AD153" s="329"/>
      <c r="AE153" s="314"/>
      <c r="AF153" s="314"/>
      <c r="AG153" s="314"/>
      <c r="AH153" s="314"/>
      <c r="AI153" s="314"/>
      <c r="AJ153" s="314"/>
      <c r="AK153" s="314"/>
      <c r="AL153" s="314"/>
      <c r="AM153" s="314"/>
      <c r="AN153" s="314"/>
      <c r="AO153" s="314"/>
      <c r="AP153" s="314"/>
      <c r="AQ153" s="314"/>
      <c r="AR153" s="314"/>
      <c r="AS153" s="314"/>
      <c r="AU153" s="140"/>
    </row>
    <row r="154" spans="1:47" s="390" customFormat="1" ht="28.5" customHeight="1">
      <c r="A154" s="477" t="s">
        <v>440</v>
      </c>
      <c r="B154" s="385"/>
      <c r="C154" s="386" t="s">
        <v>146</v>
      </c>
      <c r="D154" s="387">
        <v>11.922000000000011</v>
      </c>
      <c r="E154" s="388"/>
      <c r="F154" s="387"/>
      <c r="G154" s="399"/>
      <c r="H154" s="399"/>
      <c r="I154" s="399"/>
      <c r="J154" s="399"/>
      <c r="K154" s="388">
        <f>+SUM(M153:U153)*6</f>
        <v>9.24</v>
      </c>
      <c r="L154" s="388"/>
      <c r="M154" s="387"/>
      <c r="N154" s="387"/>
      <c r="O154" s="387"/>
      <c r="P154" s="387"/>
      <c r="Q154" s="387"/>
      <c r="R154" s="387"/>
      <c r="S154" s="387"/>
      <c r="T154" s="387"/>
      <c r="U154" s="387"/>
      <c r="V154" s="387"/>
      <c r="W154" s="397" t="s">
        <v>590</v>
      </c>
      <c r="X154" s="399"/>
      <c r="Y154" s="399"/>
      <c r="Z154" s="387"/>
      <c r="AA154" s="399"/>
      <c r="AB154" s="399"/>
      <c r="AC154" s="399"/>
      <c r="AD154" s="399"/>
      <c r="AE154" s="387"/>
      <c r="AF154" s="387"/>
      <c r="AG154" s="387"/>
      <c r="AH154" s="387"/>
      <c r="AI154" s="387"/>
      <c r="AJ154" s="387"/>
      <c r="AK154" s="387"/>
      <c r="AL154" s="387"/>
      <c r="AM154" s="387"/>
      <c r="AN154" s="387"/>
      <c r="AO154" s="387"/>
      <c r="AP154" s="387"/>
      <c r="AQ154" s="387"/>
      <c r="AR154" s="387"/>
      <c r="AS154" s="387"/>
      <c r="AU154" s="391"/>
    </row>
    <row r="155" spans="1:47" ht="21" customHeight="1">
      <c r="A155" s="284"/>
      <c r="B155" s="294"/>
      <c r="C155" s="284" t="s">
        <v>147</v>
      </c>
      <c r="D155" s="314">
        <v>32.65</v>
      </c>
      <c r="E155" s="314">
        <f>K155+L155+AR155+AS155</f>
        <v>38.64456</v>
      </c>
      <c r="F155" s="314">
        <f>K155+L155</f>
        <v>38.4</v>
      </c>
      <c r="G155" s="329">
        <v>15</v>
      </c>
      <c r="H155" s="329">
        <v>2</v>
      </c>
      <c r="I155" s="329">
        <v>15</v>
      </c>
      <c r="J155" s="329">
        <v>2</v>
      </c>
      <c r="K155" s="338">
        <f>(M155+O155+P155+Q155+S155+U155)*6</f>
        <v>36</v>
      </c>
      <c r="L155" s="338">
        <f>(N155+R155+T155+V155)*6</f>
        <v>2.4000000000000004</v>
      </c>
      <c r="M155" s="314">
        <v>3.54</v>
      </c>
      <c r="N155" s="314">
        <v>0.3</v>
      </c>
      <c r="O155" s="314"/>
      <c r="P155" s="314">
        <v>0.23</v>
      </c>
      <c r="Q155" s="314">
        <v>0.05</v>
      </c>
      <c r="R155" s="314"/>
      <c r="S155" s="314">
        <v>0.3</v>
      </c>
      <c r="T155" s="314"/>
      <c r="U155" s="314">
        <v>1.88</v>
      </c>
      <c r="V155" s="314">
        <v>0.1</v>
      </c>
      <c r="W155" s="314"/>
      <c r="X155" s="329"/>
      <c r="Y155" s="329"/>
      <c r="Z155" s="314"/>
      <c r="AA155" s="329"/>
      <c r="AB155" s="329"/>
      <c r="AC155" s="329"/>
      <c r="AD155" s="329"/>
      <c r="AE155" s="314">
        <f aca="true" t="shared" si="111" ref="AE155:AF157">AG155+AI155+AP155</f>
        <v>3.81679</v>
      </c>
      <c r="AF155" s="314">
        <f t="shared" si="111"/>
        <v>0.29996999999999996</v>
      </c>
      <c r="AG155" s="314">
        <v>3.54</v>
      </c>
      <c r="AH155" s="314">
        <v>0.297</v>
      </c>
      <c r="AI155" s="314">
        <f>AK155+AL155+AN155</f>
        <v>0.23900000000000002</v>
      </c>
      <c r="AJ155" s="314">
        <v>0</v>
      </c>
      <c r="AK155" s="314">
        <v>0.234</v>
      </c>
      <c r="AL155" s="314">
        <v>0.005</v>
      </c>
      <c r="AM155" s="314">
        <v>0.297</v>
      </c>
      <c r="AN155" s="314"/>
      <c r="AO155" s="314"/>
      <c r="AP155" s="314">
        <f aca="true" t="shared" si="112" ref="AP155:AQ157">(AG155+AI155)*1%</f>
        <v>0.03779</v>
      </c>
      <c r="AQ155" s="314">
        <f t="shared" si="112"/>
        <v>0.00297</v>
      </c>
      <c r="AR155" s="314">
        <f aca="true" t="shared" si="113" ref="AR155:AS157">AP155*6</f>
        <v>0.22674</v>
      </c>
      <c r="AS155" s="314">
        <f t="shared" si="113"/>
        <v>0.01782</v>
      </c>
      <c r="AU155" s="140"/>
    </row>
    <row r="156" spans="1:47" ht="13.5" customHeight="1">
      <c r="A156" s="470"/>
      <c r="B156" s="294"/>
      <c r="C156" s="284" t="s">
        <v>148</v>
      </c>
      <c r="D156" s="314">
        <v>3.0419999999999945</v>
      </c>
      <c r="E156" s="314">
        <f>K156+L156+AR156+AS156</f>
        <v>5.3100000000000005</v>
      </c>
      <c r="F156" s="314">
        <f>K156+L156</f>
        <v>5.3100000000000005</v>
      </c>
      <c r="G156" s="329">
        <v>3</v>
      </c>
      <c r="H156" s="329">
        <v>0</v>
      </c>
      <c r="I156" s="329">
        <v>3</v>
      </c>
      <c r="J156" s="329">
        <v>0</v>
      </c>
      <c r="K156" s="314">
        <f>(M156+O156+P156+Q156+S156+U156)*6</f>
        <v>5.3100000000000005</v>
      </c>
      <c r="L156" s="314">
        <f>(N156+R156+T156+V156)*6</f>
        <v>0</v>
      </c>
      <c r="M156" s="314">
        <v>0.63</v>
      </c>
      <c r="N156" s="314">
        <v>0</v>
      </c>
      <c r="O156" s="314">
        <v>0</v>
      </c>
      <c r="P156" s="314">
        <v>0.018</v>
      </c>
      <c r="Q156" s="314">
        <v>0</v>
      </c>
      <c r="R156" s="314">
        <v>0</v>
      </c>
      <c r="S156" s="314">
        <v>0.094</v>
      </c>
      <c r="T156" s="314">
        <v>0</v>
      </c>
      <c r="U156" s="314">
        <v>0.143</v>
      </c>
      <c r="V156" s="314">
        <v>0</v>
      </c>
      <c r="W156" s="314"/>
      <c r="X156" s="329"/>
      <c r="Y156" s="329">
        <v>0</v>
      </c>
      <c r="Z156" s="314"/>
      <c r="AA156" s="329">
        <v>0</v>
      </c>
      <c r="AB156" s="329">
        <v>0</v>
      </c>
      <c r="AC156" s="329">
        <v>0</v>
      </c>
      <c r="AD156" s="329">
        <v>0</v>
      </c>
      <c r="AE156" s="314">
        <f t="shared" si="111"/>
        <v>0</v>
      </c>
      <c r="AF156" s="314">
        <f t="shared" si="111"/>
        <v>0</v>
      </c>
      <c r="AG156" s="314">
        <v>0</v>
      </c>
      <c r="AH156" s="314">
        <v>0</v>
      </c>
      <c r="AI156" s="314">
        <f>AK156+AL156+AN156</f>
        <v>0</v>
      </c>
      <c r="AJ156" s="314">
        <v>0</v>
      </c>
      <c r="AK156" s="314">
        <v>0</v>
      </c>
      <c r="AL156" s="314">
        <v>0</v>
      </c>
      <c r="AM156" s="314">
        <v>0.39</v>
      </c>
      <c r="AN156" s="314">
        <v>0</v>
      </c>
      <c r="AO156" s="314">
        <v>0</v>
      </c>
      <c r="AP156" s="314">
        <f t="shared" si="112"/>
        <v>0</v>
      </c>
      <c r="AQ156" s="314">
        <f t="shared" si="112"/>
        <v>0</v>
      </c>
      <c r="AR156" s="314">
        <f t="shared" si="113"/>
        <v>0</v>
      </c>
      <c r="AS156" s="314">
        <f t="shared" si="113"/>
        <v>0</v>
      </c>
      <c r="AU156" s="140"/>
    </row>
    <row r="157" spans="1:47" ht="13.5" customHeight="1">
      <c r="A157" s="470"/>
      <c r="B157" s="294"/>
      <c r="C157" s="284" t="s">
        <v>149</v>
      </c>
      <c r="D157" s="314">
        <v>63.63660000000016</v>
      </c>
      <c r="E157" s="314">
        <f>K157+L157+AR157+AS157</f>
        <v>49.8</v>
      </c>
      <c r="F157" s="314">
        <f>K157+L157</f>
        <v>49.8</v>
      </c>
      <c r="G157" s="329"/>
      <c r="H157" s="329"/>
      <c r="I157" s="329"/>
      <c r="J157" s="329"/>
      <c r="K157" s="314">
        <f>(M157+O157+P157+Q157+S157+U157)*6</f>
        <v>42.599999999999994</v>
      </c>
      <c r="L157" s="314">
        <f>(N157+R157+T157+V157)*6</f>
        <v>7.199999999999999</v>
      </c>
      <c r="M157" s="314">
        <v>4.6</v>
      </c>
      <c r="N157" s="314">
        <v>0.9</v>
      </c>
      <c r="O157" s="314">
        <v>0</v>
      </c>
      <c r="P157" s="314">
        <v>0.3</v>
      </c>
      <c r="Q157" s="314">
        <v>0</v>
      </c>
      <c r="R157" s="314">
        <v>0</v>
      </c>
      <c r="S157" s="314">
        <v>0.1</v>
      </c>
      <c r="T157" s="314">
        <v>0</v>
      </c>
      <c r="U157" s="314">
        <v>2.1</v>
      </c>
      <c r="V157" s="314">
        <v>0.3</v>
      </c>
      <c r="W157" s="314"/>
      <c r="X157" s="329"/>
      <c r="Y157" s="329">
        <v>0</v>
      </c>
      <c r="Z157" s="314"/>
      <c r="AA157" s="329">
        <v>0</v>
      </c>
      <c r="AB157" s="329">
        <v>0</v>
      </c>
      <c r="AC157" s="329">
        <v>0</v>
      </c>
      <c r="AD157" s="329">
        <v>0</v>
      </c>
      <c r="AE157" s="314">
        <f t="shared" si="111"/>
        <v>0</v>
      </c>
      <c r="AF157" s="314">
        <f t="shared" si="111"/>
        <v>0</v>
      </c>
      <c r="AG157" s="314">
        <v>0</v>
      </c>
      <c r="AH157" s="314">
        <v>0</v>
      </c>
      <c r="AI157" s="314">
        <f>AK157+AL157+AN157</f>
        <v>0</v>
      </c>
      <c r="AJ157" s="314">
        <v>0</v>
      </c>
      <c r="AK157" s="314">
        <v>0</v>
      </c>
      <c r="AL157" s="314">
        <v>0</v>
      </c>
      <c r="AM157" s="314">
        <v>0</v>
      </c>
      <c r="AN157" s="314">
        <v>0</v>
      </c>
      <c r="AO157" s="314">
        <v>0</v>
      </c>
      <c r="AP157" s="314">
        <f t="shared" si="112"/>
        <v>0</v>
      </c>
      <c r="AQ157" s="314">
        <f t="shared" si="112"/>
        <v>0</v>
      </c>
      <c r="AR157" s="314">
        <f t="shared" si="113"/>
        <v>0</v>
      </c>
      <c r="AS157" s="314">
        <f t="shared" si="113"/>
        <v>0</v>
      </c>
      <c r="AU157" s="140"/>
    </row>
    <row r="158" spans="1:47" ht="21.75" customHeight="1">
      <c r="A158" s="284"/>
      <c r="B158" s="294"/>
      <c r="C158" s="284" t="s">
        <v>150</v>
      </c>
      <c r="D158" s="314">
        <v>15.899999999999991</v>
      </c>
      <c r="E158" s="314">
        <f>K158+L158+AR158+AS158</f>
        <v>14.099999999999998</v>
      </c>
      <c r="F158" s="314">
        <f>K158+L158</f>
        <v>14.099999999999998</v>
      </c>
      <c r="G158" s="329">
        <v>0</v>
      </c>
      <c r="H158" s="329">
        <v>7</v>
      </c>
      <c r="I158" s="329">
        <v>0</v>
      </c>
      <c r="J158" s="329">
        <v>7</v>
      </c>
      <c r="K158" s="314">
        <f>(M158+O158+P158+Q158+S158+U158)*6</f>
        <v>0</v>
      </c>
      <c r="L158" s="314">
        <f>(N158+R158+T158+V158)*6</f>
        <v>14.099999999999998</v>
      </c>
      <c r="M158" s="314"/>
      <c r="N158" s="314">
        <v>2.19</v>
      </c>
      <c r="O158" s="314"/>
      <c r="P158" s="314"/>
      <c r="Q158" s="314"/>
      <c r="R158" s="314"/>
      <c r="S158" s="314"/>
      <c r="T158" s="314">
        <v>0.01</v>
      </c>
      <c r="U158" s="314"/>
      <c r="V158" s="314">
        <v>0.15</v>
      </c>
      <c r="W158" s="314"/>
      <c r="X158" s="329"/>
      <c r="Y158" s="329"/>
      <c r="Z158" s="314"/>
      <c r="AA158" s="329">
        <v>0</v>
      </c>
      <c r="AB158" s="329">
        <v>0</v>
      </c>
      <c r="AC158" s="329">
        <v>0</v>
      </c>
      <c r="AD158" s="329">
        <v>0</v>
      </c>
      <c r="AE158" s="314">
        <f>AG158+AI158+AP158</f>
        <v>0</v>
      </c>
      <c r="AF158" s="314">
        <f>AH158+AJ158+AQ158</f>
        <v>0</v>
      </c>
      <c r="AG158" s="314">
        <v>0</v>
      </c>
      <c r="AH158" s="314">
        <v>0</v>
      </c>
      <c r="AI158" s="314">
        <f>AK158+AL158+AN158</f>
        <v>0</v>
      </c>
      <c r="AJ158" s="314">
        <v>0</v>
      </c>
      <c r="AK158" s="314">
        <v>0</v>
      </c>
      <c r="AL158" s="314">
        <v>0</v>
      </c>
      <c r="AM158" s="314">
        <v>0</v>
      </c>
      <c r="AN158" s="314">
        <v>0</v>
      </c>
      <c r="AO158" s="314">
        <v>0</v>
      </c>
      <c r="AP158" s="314">
        <f>(AG158+AI158)*1%</f>
        <v>0</v>
      </c>
      <c r="AQ158" s="314">
        <f>(AH158+AJ158)*1%</f>
        <v>0</v>
      </c>
      <c r="AR158" s="314">
        <f>AP158*6</f>
        <v>0</v>
      </c>
      <c r="AS158" s="314">
        <f>AQ158*6</f>
        <v>0</v>
      </c>
      <c r="AU158" s="140"/>
    </row>
    <row r="159" spans="1:47" ht="25.5" customHeight="1">
      <c r="A159" s="284"/>
      <c r="B159" s="294"/>
      <c r="C159" s="284" t="s">
        <v>151</v>
      </c>
      <c r="D159" s="314">
        <v>23.281620000000007</v>
      </c>
      <c r="E159" s="314">
        <f>K159+L159+AR159+AS159</f>
        <v>26.080500000000008</v>
      </c>
      <c r="F159" s="314">
        <f>K159+L159</f>
        <v>25.830000000000005</v>
      </c>
      <c r="G159" s="329">
        <v>7</v>
      </c>
      <c r="H159" s="329">
        <v>1</v>
      </c>
      <c r="I159" s="329">
        <v>7</v>
      </c>
      <c r="J159" s="329">
        <v>1</v>
      </c>
      <c r="K159" s="314">
        <f>(M159+O159+P159+Q159+S159+U159)*6</f>
        <v>23.544000000000004</v>
      </c>
      <c r="L159" s="314">
        <f>(N159+R159+T159+V159)*6</f>
        <v>2.286</v>
      </c>
      <c r="M159" s="314">
        <v>3.451</v>
      </c>
      <c r="N159" s="314">
        <v>0.314</v>
      </c>
      <c r="O159" s="314"/>
      <c r="P159" s="314"/>
      <c r="Q159" s="314"/>
      <c r="R159" s="314"/>
      <c r="S159" s="314">
        <v>0.027</v>
      </c>
      <c r="T159" s="314"/>
      <c r="U159" s="314">
        <v>0.446</v>
      </c>
      <c r="V159" s="314">
        <v>0.067</v>
      </c>
      <c r="W159" s="314"/>
      <c r="X159" s="329">
        <v>5</v>
      </c>
      <c r="Y159" s="329">
        <v>1</v>
      </c>
      <c r="Z159" s="314">
        <v>0.582</v>
      </c>
      <c r="AA159" s="329">
        <v>7</v>
      </c>
      <c r="AB159" s="329">
        <v>1</v>
      </c>
      <c r="AC159" s="329">
        <v>5</v>
      </c>
      <c r="AD159" s="329">
        <v>1</v>
      </c>
      <c r="AE159" s="314">
        <f>AG159+AI159+AP159</f>
        <v>3.89355</v>
      </c>
      <c r="AF159" s="314">
        <f>AH159+AJ159+AQ159</f>
        <v>0.3232</v>
      </c>
      <c r="AG159" s="314">
        <v>3.585</v>
      </c>
      <c r="AH159" s="314">
        <v>0.32</v>
      </c>
      <c r="AI159" s="314">
        <f>AK159+AL159+AN159</f>
        <v>0.27</v>
      </c>
      <c r="AJ159" s="314">
        <v>0</v>
      </c>
      <c r="AK159" s="314"/>
      <c r="AL159" s="314"/>
      <c r="AM159" s="314"/>
      <c r="AN159" s="314">
        <v>0.27</v>
      </c>
      <c r="AO159" s="314"/>
      <c r="AP159" s="314">
        <f>(AG159+AI159)*1%</f>
        <v>0.03855</v>
      </c>
      <c r="AQ159" s="314">
        <f>(AH159+AJ159)*1%</f>
        <v>0.0032</v>
      </c>
      <c r="AR159" s="314">
        <f>AP159*6</f>
        <v>0.2313</v>
      </c>
      <c r="AS159" s="314">
        <f>AQ159*6</f>
        <v>0.019200000000000002</v>
      </c>
      <c r="AU159" s="140"/>
    </row>
    <row r="160" spans="1:47" s="390" customFormat="1" ht="13.5" customHeight="1">
      <c r="A160" s="477" t="s">
        <v>440</v>
      </c>
      <c r="B160" s="385"/>
      <c r="C160" s="386" t="s">
        <v>152</v>
      </c>
      <c r="D160" s="387">
        <v>15.420000000000002</v>
      </c>
      <c r="E160" s="314"/>
      <c r="F160" s="314"/>
      <c r="G160" s="399"/>
      <c r="H160" s="399"/>
      <c r="I160" s="399"/>
      <c r="J160" s="399"/>
      <c r="K160" s="388">
        <f>+SUM(M159:U159)*6</f>
        <v>25.428000000000004</v>
      </c>
      <c r="L160" s="388"/>
      <c r="M160" s="387"/>
      <c r="N160" s="387"/>
      <c r="O160" s="387"/>
      <c r="P160" s="387"/>
      <c r="Q160" s="387"/>
      <c r="R160" s="387"/>
      <c r="S160" s="387"/>
      <c r="T160" s="387"/>
      <c r="U160" s="387"/>
      <c r="V160" s="387"/>
      <c r="W160" s="397" t="s">
        <v>590</v>
      </c>
      <c r="X160" s="399"/>
      <c r="Y160" s="399"/>
      <c r="Z160" s="387"/>
      <c r="AA160" s="399"/>
      <c r="AB160" s="399"/>
      <c r="AC160" s="399"/>
      <c r="AD160" s="399"/>
      <c r="AE160" s="387"/>
      <c r="AF160" s="387"/>
      <c r="AG160" s="387"/>
      <c r="AH160" s="387"/>
      <c r="AI160" s="387"/>
      <c r="AJ160" s="387"/>
      <c r="AK160" s="387"/>
      <c r="AL160" s="387"/>
      <c r="AM160" s="387"/>
      <c r="AN160" s="387"/>
      <c r="AO160" s="387"/>
      <c r="AP160" s="387"/>
      <c r="AQ160" s="387"/>
      <c r="AR160" s="387"/>
      <c r="AS160" s="387"/>
      <c r="AU160" s="391"/>
    </row>
    <row r="161" spans="1:47" s="390" customFormat="1" ht="13.5" customHeight="1">
      <c r="A161" s="477" t="s">
        <v>440</v>
      </c>
      <c r="B161" s="385"/>
      <c r="C161" s="386" t="s">
        <v>153</v>
      </c>
      <c r="D161" s="387">
        <v>13.199999999999996</v>
      </c>
      <c r="E161" s="388">
        <f>K161+L161+AR161+AS161</f>
        <v>167.7834</v>
      </c>
      <c r="F161" s="388">
        <f>K161+L161</f>
        <v>166.44</v>
      </c>
      <c r="G161" s="389">
        <v>6</v>
      </c>
      <c r="H161" s="389">
        <v>0</v>
      </c>
      <c r="I161" s="389">
        <v>5</v>
      </c>
      <c r="J161" s="389">
        <v>0</v>
      </c>
      <c r="K161" s="388">
        <f>(M161+O161+P161+Q161+S161+U161)*6</f>
        <v>166.44</v>
      </c>
      <c r="L161" s="388">
        <f>(N161+R161+T161+V161)*6</f>
        <v>0</v>
      </c>
      <c r="M161" s="388">
        <v>26.34</v>
      </c>
      <c r="N161" s="388">
        <v>0</v>
      </c>
      <c r="O161" s="388">
        <v>0</v>
      </c>
      <c r="P161" s="388">
        <v>0</v>
      </c>
      <c r="Q161" s="388">
        <v>0</v>
      </c>
      <c r="R161" s="388">
        <v>0</v>
      </c>
      <c r="S161" s="388">
        <v>0.2</v>
      </c>
      <c r="T161" s="388">
        <v>0</v>
      </c>
      <c r="U161" s="388">
        <v>1.2</v>
      </c>
      <c r="V161" s="388">
        <v>0</v>
      </c>
      <c r="W161" s="397" t="s">
        <v>590</v>
      </c>
      <c r="X161" s="389"/>
      <c r="Y161" s="389">
        <v>7</v>
      </c>
      <c r="Z161" s="388"/>
      <c r="AA161" s="389">
        <v>0</v>
      </c>
      <c r="AB161" s="389">
        <v>7</v>
      </c>
      <c r="AC161" s="389">
        <v>0</v>
      </c>
      <c r="AD161" s="389">
        <v>7</v>
      </c>
      <c r="AE161" s="388">
        <f>AG161+AI161+AP161</f>
        <v>0</v>
      </c>
      <c r="AF161" s="388">
        <f>AH161+AJ161+AQ161</f>
        <v>22.6139</v>
      </c>
      <c r="AG161" s="388">
        <v>0</v>
      </c>
      <c r="AH161" s="388">
        <v>22</v>
      </c>
      <c r="AI161" s="388">
        <f>AK161+AL161+AN161</f>
        <v>0</v>
      </c>
      <c r="AJ161" s="388">
        <f>AM161+AO161</f>
        <v>0.39</v>
      </c>
      <c r="AK161" s="388">
        <v>0</v>
      </c>
      <c r="AL161" s="388">
        <v>0</v>
      </c>
      <c r="AM161" s="388">
        <v>0.39</v>
      </c>
      <c r="AN161" s="388">
        <v>0</v>
      </c>
      <c r="AO161" s="388">
        <v>0</v>
      </c>
      <c r="AP161" s="388">
        <f>(AG161+AI161)*1%</f>
        <v>0</v>
      </c>
      <c r="AQ161" s="388">
        <f>(AH161+AJ161)*1%</f>
        <v>0.22390000000000002</v>
      </c>
      <c r="AR161" s="388">
        <f>AP161*6</f>
        <v>0</v>
      </c>
      <c r="AS161" s="388">
        <f>AQ161*6</f>
        <v>1.3434000000000001</v>
      </c>
      <c r="AU161" s="391"/>
    </row>
    <row r="162" spans="1:47" ht="13.5" customHeight="1">
      <c r="A162" s="284"/>
      <c r="B162" s="294"/>
      <c r="C162" s="284" t="s">
        <v>154</v>
      </c>
      <c r="D162" s="314">
        <v>22.348799999999983</v>
      </c>
      <c r="E162" s="338">
        <f>K162+L162+AR162+AS162</f>
        <v>26.400000000000002</v>
      </c>
      <c r="F162" s="338">
        <f>K162+L162</f>
        <v>26.400000000000002</v>
      </c>
      <c r="G162" s="432">
        <v>0</v>
      </c>
      <c r="H162" s="433">
        <v>9</v>
      </c>
      <c r="I162" s="432">
        <v>0</v>
      </c>
      <c r="J162" s="432">
        <v>9</v>
      </c>
      <c r="K162" s="338">
        <f>(M162+O162+P162+Q162+S162+U162)*6</f>
        <v>26.400000000000002</v>
      </c>
      <c r="L162" s="338">
        <f>(N162+R162+T162+V162)*6</f>
        <v>0</v>
      </c>
      <c r="M162" s="434">
        <v>3.3</v>
      </c>
      <c r="N162" s="434">
        <v>0</v>
      </c>
      <c r="O162" s="434">
        <v>0</v>
      </c>
      <c r="P162" s="434">
        <v>0</v>
      </c>
      <c r="Q162" s="434">
        <v>0</v>
      </c>
      <c r="R162" s="434">
        <v>0</v>
      </c>
      <c r="S162" s="434">
        <v>0</v>
      </c>
      <c r="T162" s="434">
        <v>0</v>
      </c>
      <c r="U162" s="434">
        <v>1.1</v>
      </c>
      <c r="V162" s="434">
        <v>0</v>
      </c>
      <c r="W162" s="433"/>
      <c r="X162" s="339"/>
      <c r="Y162" s="339"/>
      <c r="Z162" s="338"/>
      <c r="AA162" s="339"/>
      <c r="AB162" s="339"/>
      <c r="AC162" s="339"/>
      <c r="AD162" s="339"/>
      <c r="AE162" s="338"/>
      <c r="AF162" s="338"/>
      <c r="AG162" s="338"/>
      <c r="AH162" s="338"/>
      <c r="AI162" s="338"/>
      <c r="AJ162" s="338"/>
      <c r="AK162" s="338"/>
      <c r="AL162" s="338"/>
      <c r="AM162" s="338"/>
      <c r="AN162" s="338"/>
      <c r="AO162" s="338"/>
      <c r="AP162" s="338"/>
      <c r="AQ162" s="338"/>
      <c r="AR162" s="338"/>
      <c r="AS162" s="338"/>
      <c r="AU162" s="140"/>
    </row>
    <row r="163" spans="1:47" s="390" customFormat="1" ht="27.75" customHeight="1">
      <c r="A163" s="386" t="s">
        <v>440</v>
      </c>
      <c r="B163" s="385"/>
      <c r="C163" s="386" t="s">
        <v>347</v>
      </c>
      <c r="D163" s="387">
        <v>11.700000000000017</v>
      </c>
      <c r="E163" s="388"/>
      <c r="F163" s="387"/>
      <c r="G163" s="399"/>
      <c r="H163" s="399"/>
      <c r="I163" s="399"/>
      <c r="J163" s="399"/>
      <c r="K163" s="388">
        <f>+SUM(M162:U162)*6</f>
        <v>26.400000000000002</v>
      </c>
      <c r="L163" s="388"/>
      <c r="M163" s="387"/>
      <c r="N163" s="387"/>
      <c r="O163" s="387"/>
      <c r="P163" s="387"/>
      <c r="Q163" s="387"/>
      <c r="R163" s="387"/>
      <c r="S163" s="387"/>
      <c r="T163" s="387"/>
      <c r="U163" s="387"/>
      <c r="V163" s="387"/>
      <c r="W163" s="397" t="s">
        <v>590</v>
      </c>
      <c r="X163" s="399"/>
      <c r="Y163" s="399"/>
      <c r="Z163" s="387"/>
      <c r="AA163" s="399"/>
      <c r="AB163" s="399"/>
      <c r="AC163" s="399"/>
      <c r="AD163" s="399"/>
      <c r="AE163" s="387"/>
      <c r="AF163" s="387"/>
      <c r="AG163" s="387"/>
      <c r="AH163" s="387"/>
      <c r="AI163" s="387"/>
      <c r="AJ163" s="387"/>
      <c r="AK163" s="387"/>
      <c r="AL163" s="387"/>
      <c r="AM163" s="387"/>
      <c r="AN163" s="387"/>
      <c r="AO163" s="387"/>
      <c r="AP163" s="387"/>
      <c r="AQ163" s="387"/>
      <c r="AR163" s="387"/>
      <c r="AS163" s="387"/>
      <c r="AU163" s="391"/>
    </row>
    <row r="164" spans="1:47" ht="22.5" customHeight="1">
      <c r="A164" s="301"/>
      <c r="B164" s="732"/>
      <c r="C164" s="364" t="s">
        <v>370</v>
      </c>
      <c r="D164" s="427"/>
      <c r="E164" s="365"/>
      <c r="F164" s="364"/>
      <c r="G164" s="375"/>
      <c r="H164" s="375"/>
      <c r="I164" s="375"/>
      <c r="J164" s="375"/>
      <c r="K164" s="363"/>
      <c r="L164" s="364"/>
      <c r="M164" s="427"/>
      <c r="N164" s="427"/>
      <c r="O164" s="427"/>
      <c r="P164" s="427"/>
      <c r="Q164" s="427"/>
      <c r="R164" s="427"/>
      <c r="S164" s="427"/>
      <c r="T164" s="427"/>
      <c r="U164" s="427"/>
      <c r="V164" s="427"/>
      <c r="W164" s="364"/>
      <c r="X164" s="721"/>
      <c r="Y164" s="366"/>
      <c r="Z164" s="722" t="s">
        <v>370</v>
      </c>
      <c r="AA164" s="722"/>
      <c r="AB164" s="722"/>
      <c r="AC164" s="722"/>
      <c r="AD164" s="722"/>
      <c r="AE164" s="722"/>
      <c r="AF164" s="722"/>
      <c r="AG164" s="722"/>
      <c r="AH164" s="722"/>
      <c r="AI164" s="722"/>
      <c r="AJ164" s="722"/>
      <c r="AK164" s="722"/>
      <c r="AL164" s="722"/>
      <c r="AM164" s="722"/>
      <c r="AN164" s="722"/>
      <c r="AO164" s="722"/>
      <c r="AP164" s="722"/>
      <c r="AQ164" s="722"/>
      <c r="AR164" s="367"/>
      <c r="AS164" s="367"/>
      <c r="AT164" s="322"/>
      <c r="AU164" s="322"/>
    </row>
    <row r="165" spans="1:47" ht="16.5" customHeight="1">
      <c r="A165" s="301"/>
      <c r="B165" s="732"/>
      <c r="C165" s="364" t="s">
        <v>375</v>
      </c>
      <c r="D165" s="427"/>
      <c r="E165" s="365"/>
      <c r="F165" s="364"/>
      <c r="G165" s="375"/>
      <c r="H165" s="375"/>
      <c r="I165" s="375"/>
      <c r="J165" s="375"/>
      <c r="K165" s="364"/>
      <c r="L165" s="364"/>
      <c r="M165" s="427"/>
      <c r="N165" s="427"/>
      <c r="O165" s="427"/>
      <c r="P165" s="427"/>
      <c r="Q165" s="427"/>
      <c r="R165" s="427"/>
      <c r="S165" s="427"/>
      <c r="T165" s="427"/>
      <c r="U165" s="427"/>
      <c r="V165" s="427"/>
      <c r="W165" s="364"/>
      <c r="X165" s="721"/>
      <c r="Y165" s="366"/>
      <c r="Z165" s="720" t="s">
        <v>414</v>
      </c>
      <c r="AA165" s="720"/>
      <c r="AB165" s="720"/>
      <c r="AC165" s="720"/>
      <c r="AD165" s="720"/>
      <c r="AE165" s="720"/>
      <c r="AF165" s="720"/>
      <c r="AG165" s="720"/>
      <c r="AH165" s="720"/>
      <c r="AI165" s="720"/>
      <c r="AJ165" s="720"/>
      <c r="AK165" s="720"/>
      <c r="AL165" s="720"/>
      <c r="AM165" s="720"/>
      <c r="AN165" s="720"/>
      <c r="AO165" s="720"/>
      <c r="AP165" s="720"/>
      <c r="AQ165" s="720"/>
      <c r="AR165" s="368"/>
      <c r="AS165" s="368"/>
      <c r="AT165" s="322"/>
      <c r="AU165" s="322"/>
    </row>
    <row r="166" spans="1:47" ht="21" customHeight="1">
      <c r="A166" s="301"/>
      <c r="B166" s="732"/>
      <c r="C166" s="364" t="s">
        <v>376</v>
      </c>
      <c r="D166" s="427"/>
      <c r="E166" s="365"/>
      <c r="F166" s="364"/>
      <c r="G166" s="375"/>
      <c r="H166" s="375"/>
      <c r="I166" s="375"/>
      <c r="J166" s="375"/>
      <c r="K166" s="364"/>
      <c r="L166" s="364"/>
      <c r="M166" s="427"/>
      <c r="N166" s="427"/>
      <c r="O166" s="427"/>
      <c r="P166" s="427"/>
      <c r="Q166" s="427"/>
      <c r="R166" s="427"/>
      <c r="S166" s="427"/>
      <c r="T166" s="427"/>
      <c r="U166" s="427"/>
      <c r="V166" s="427"/>
      <c r="W166" s="364"/>
      <c r="X166" s="721"/>
      <c r="Y166" s="366"/>
      <c r="Z166" s="720" t="s">
        <v>415</v>
      </c>
      <c r="AA166" s="720"/>
      <c r="AB166" s="720"/>
      <c r="AC166" s="720"/>
      <c r="AD166" s="720"/>
      <c r="AE166" s="720"/>
      <c r="AF166" s="720"/>
      <c r="AG166" s="720"/>
      <c r="AH166" s="720"/>
      <c r="AI166" s="720"/>
      <c r="AJ166" s="720"/>
      <c r="AK166" s="720"/>
      <c r="AL166" s="720"/>
      <c r="AM166" s="720"/>
      <c r="AN166" s="720"/>
      <c r="AO166" s="720"/>
      <c r="AP166" s="720"/>
      <c r="AQ166" s="720"/>
      <c r="AR166" s="368"/>
      <c r="AS166" s="368"/>
      <c r="AT166" s="322"/>
      <c r="AU166" s="322"/>
    </row>
    <row r="167" ht="12.75">
      <c r="K167" s="324"/>
    </row>
  </sheetData>
  <sheetProtection/>
  <mergeCells count="41">
    <mergeCell ref="S7:T7"/>
    <mergeCell ref="B10:C10"/>
    <mergeCell ref="G7:H7"/>
    <mergeCell ref="O7:O8"/>
    <mergeCell ref="D6:D8"/>
    <mergeCell ref="E6:E8"/>
    <mergeCell ref="B6:B8"/>
    <mergeCell ref="B164:B166"/>
    <mergeCell ref="I7:J7"/>
    <mergeCell ref="K7:L7"/>
    <mergeCell ref="M7:N7"/>
    <mergeCell ref="F6:F8"/>
    <mergeCell ref="P7:P8"/>
    <mergeCell ref="U7:V7"/>
    <mergeCell ref="AC6:AD7"/>
    <mergeCell ref="C1:E1"/>
    <mergeCell ref="B3:U3"/>
    <mergeCell ref="B4:U4"/>
    <mergeCell ref="T1:U1"/>
    <mergeCell ref="X6:Z6"/>
    <mergeCell ref="X7:Y7"/>
    <mergeCell ref="Q7:R7"/>
    <mergeCell ref="W6:W8"/>
    <mergeCell ref="A6:A8"/>
    <mergeCell ref="AR7:AS7"/>
    <mergeCell ref="AE6:AS6"/>
    <mergeCell ref="AG7:AH7"/>
    <mergeCell ref="Z7:Z8"/>
    <mergeCell ref="AA6:AB7"/>
    <mergeCell ref="C6:C8"/>
    <mergeCell ref="AL7:AM7"/>
    <mergeCell ref="AK7:AK8"/>
    <mergeCell ref="G6:V6"/>
    <mergeCell ref="Z166:AQ166"/>
    <mergeCell ref="X164:X166"/>
    <mergeCell ref="Z164:AQ164"/>
    <mergeCell ref="AI7:AJ7"/>
    <mergeCell ref="AP7:AQ7"/>
    <mergeCell ref="AN7:AO7"/>
    <mergeCell ref="Z165:AQ165"/>
    <mergeCell ref="AE7:AF7"/>
  </mergeCells>
  <printOptions/>
  <pageMargins left="0.12" right="0" top="0.28" bottom="0.45" header="0.354330708661417" footer="0.17"/>
  <pageSetup horizontalDpi="600" verticalDpi="600" orientation="landscape" paperSize="9" scale="65" r:id="rId1"/>
  <headerFooter alignWithMargins="0">
    <oddFooter>&amp;C&amp;P</oddFooter>
  </headerFooter>
  <rowBreaks count="1" manualBreakCount="1">
    <brk id="99" max="255" man="1"/>
  </rowBreaks>
  <colBreaks count="1" manualBreakCount="1">
    <brk id="23" max="65535" man="1"/>
  </colBreaks>
</worksheet>
</file>

<file path=xl/worksheets/sheet5.xml><?xml version="1.0" encoding="utf-8"?>
<worksheet xmlns="http://schemas.openxmlformats.org/spreadsheetml/2006/main" xmlns:r="http://schemas.openxmlformats.org/officeDocument/2006/relationships">
  <dimension ref="A1:T214"/>
  <sheetViews>
    <sheetView tabSelected="1" view="pageBreakPreview" zoomScale="110" zoomScaleNormal="70" zoomScaleSheetLayoutView="110" zoomScalePageLayoutView="0" workbookViewId="0" topLeftCell="A1">
      <pane xSplit="2" ySplit="8" topLeftCell="C84" activePane="bottomRight" state="frozen"/>
      <selection pane="topLeft" activeCell="A1" sqref="A1"/>
      <selection pane="topRight" activeCell="C1" sqref="C1"/>
      <selection pane="bottomLeft" activeCell="A9" sqref="A9"/>
      <selection pane="bottomRight" activeCell="K85" sqref="K85"/>
    </sheetView>
  </sheetViews>
  <sheetFormatPr defaultColWidth="9.140625" defaultRowHeight="12.75"/>
  <cols>
    <col min="1" max="1" width="5.28125" style="485" customWidth="1"/>
    <col min="2" max="2" width="26.28125" style="485" customWidth="1"/>
    <col min="3" max="3" width="15.8515625" style="485" customWidth="1"/>
    <col min="4" max="4" width="14.7109375" style="485" hidden="1" customWidth="1"/>
    <col min="5" max="5" width="15.8515625" style="502" hidden="1" customWidth="1"/>
    <col min="6" max="6" width="14.57421875" style="485" customWidth="1"/>
    <col min="7" max="7" width="4.8515625" style="485" customWidth="1"/>
    <col min="8" max="8" width="7.7109375" style="485" customWidth="1"/>
    <col min="9" max="9" width="14.28125" style="485" customWidth="1"/>
    <col min="10" max="10" width="14.421875" style="485" customWidth="1"/>
    <col min="11" max="11" width="17.28125" style="603" customWidth="1"/>
    <col min="12" max="12" width="19.7109375" style="485" customWidth="1"/>
    <col min="13" max="13" width="14.140625" style="502" customWidth="1"/>
    <col min="14" max="14" width="18.7109375" style="502" customWidth="1"/>
    <col min="15" max="15" width="16.140625" style="504" customWidth="1"/>
    <col min="16" max="16" width="13.28125" style="0" customWidth="1"/>
    <col min="17" max="17" width="13.140625" style="0" customWidth="1"/>
    <col min="18" max="18" width="11.57421875" style="0" bestFit="1" customWidth="1"/>
  </cols>
  <sheetData>
    <row r="1" spans="1:20" ht="19.5" customHeight="1">
      <c r="A1" s="629"/>
      <c r="B1" s="629"/>
      <c r="C1" s="629"/>
      <c r="D1" s="629"/>
      <c r="E1" s="630"/>
      <c r="F1" s="629"/>
      <c r="G1" s="629"/>
      <c r="H1" s="629"/>
      <c r="I1" s="629"/>
      <c r="J1" s="629"/>
      <c r="K1" s="631"/>
      <c r="L1" s="629"/>
      <c r="M1" s="630"/>
      <c r="N1" s="503" t="s">
        <v>422</v>
      </c>
      <c r="O1" s="632"/>
      <c r="P1" s="495"/>
      <c r="Q1" s="495"/>
      <c r="R1" s="495"/>
      <c r="S1" s="495"/>
      <c r="T1" s="495"/>
    </row>
    <row r="2" spans="1:20" s="496" customFormat="1" ht="18.75" customHeight="1">
      <c r="A2" s="738" t="s">
        <v>421</v>
      </c>
      <c r="B2" s="738"/>
      <c r="C2" s="738"/>
      <c r="D2" s="738"/>
      <c r="E2" s="738"/>
      <c r="F2" s="738"/>
      <c r="G2" s="738"/>
      <c r="H2" s="738"/>
      <c r="I2" s="738"/>
      <c r="J2" s="738"/>
      <c r="K2" s="738"/>
      <c r="L2" s="738"/>
      <c r="M2" s="738"/>
      <c r="N2" s="738"/>
      <c r="O2" s="738"/>
      <c r="P2" s="495"/>
      <c r="Q2" s="495"/>
      <c r="R2" s="495"/>
      <c r="S2" s="495"/>
      <c r="T2" s="495"/>
    </row>
    <row r="3" spans="1:20" ht="14.25" customHeight="1">
      <c r="A3" s="739" t="s">
        <v>599</v>
      </c>
      <c r="B3" s="739"/>
      <c r="C3" s="739"/>
      <c r="D3" s="739"/>
      <c r="E3" s="739"/>
      <c r="F3" s="739"/>
      <c r="G3" s="739"/>
      <c r="H3" s="739"/>
      <c r="I3" s="739"/>
      <c r="J3" s="739"/>
      <c r="K3" s="739"/>
      <c r="L3" s="739"/>
      <c r="M3" s="739"/>
      <c r="N3" s="739"/>
      <c r="O3" s="739"/>
      <c r="P3" s="495"/>
      <c r="Q3" s="495"/>
      <c r="R3" s="495"/>
      <c r="S3" s="495"/>
      <c r="T3" s="495"/>
    </row>
    <row r="4" spans="1:20" ht="12.75">
      <c r="A4" s="633"/>
      <c r="B4" s="633"/>
      <c r="C4" s="633"/>
      <c r="D4" s="633"/>
      <c r="E4" s="634"/>
      <c r="F4" s="633"/>
      <c r="G4" s="635"/>
      <c r="H4" s="635"/>
      <c r="I4" s="635"/>
      <c r="J4" s="635"/>
      <c r="K4" s="636"/>
      <c r="L4" s="633"/>
      <c r="M4" s="634"/>
      <c r="N4" s="740" t="s">
        <v>423</v>
      </c>
      <c r="O4" s="740"/>
      <c r="P4" s="495"/>
      <c r="Q4" s="495"/>
      <c r="R4" s="495"/>
      <c r="S4" s="495"/>
      <c r="T4" s="495"/>
    </row>
    <row r="5" spans="1:20" ht="12.75">
      <c r="A5" s="741" t="s">
        <v>58</v>
      </c>
      <c r="B5" s="741" t="s">
        <v>381</v>
      </c>
      <c r="C5" s="742" t="s">
        <v>416</v>
      </c>
      <c r="D5" s="742"/>
      <c r="E5" s="742"/>
      <c r="F5" s="745" t="s">
        <v>382</v>
      </c>
      <c r="G5" s="746"/>
      <c r="H5" s="746"/>
      <c r="I5" s="746"/>
      <c r="J5" s="746"/>
      <c r="K5" s="743" t="s">
        <v>383</v>
      </c>
      <c r="L5" s="743"/>
      <c r="M5" s="743"/>
      <c r="N5" s="743"/>
      <c r="O5" s="744"/>
      <c r="P5" s="495"/>
      <c r="Q5" s="495"/>
      <c r="R5" s="495"/>
      <c r="S5" s="495"/>
      <c r="T5" s="495"/>
    </row>
    <row r="6" spans="1:20" ht="123" customHeight="1">
      <c r="A6" s="741"/>
      <c r="B6" s="741"/>
      <c r="C6" s="491" t="s">
        <v>592</v>
      </c>
      <c r="D6" s="491" t="s">
        <v>417</v>
      </c>
      <c r="E6" s="507" t="s">
        <v>418</v>
      </c>
      <c r="F6" s="491" t="s">
        <v>593</v>
      </c>
      <c r="G6" s="491" t="s">
        <v>419</v>
      </c>
      <c r="H6" s="491" t="s">
        <v>384</v>
      </c>
      <c r="I6" s="491" t="s">
        <v>436</v>
      </c>
      <c r="J6" s="491" t="s">
        <v>437</v>
      </c>
      <c r="K6" s="604" t="s">
        <v>594</v>
      </c>
      <c r="L6" s="505" t="s">
        <v>587</v>
      </c>
      <c r="M6" s="506" t="s">
        <v>385</v>
      </c>
      <c r="N6" s="507" t="s">
        <v>598</v>
      </c>
      <c r="O6" s="508" t="s">
        <v>386</v>
      </c>
      <c r="P6" s="495"/>
      <c r="Q6" s="495"/>
      <c r="R6" s="495"/>
      <c r="S6" s="495"/>
      <c r="T6" s="495"/>
    </row>
    <row r="7" spans="1:20" ht="64.5" customHeight="1">
      <c r="A7" s="500" t="s">
        <v>59</v>
      </c>
      <c r="B7" s="489" t="s">
        <v>60</v>
      </c>
      <c r="C7" s="605">
        <v>1</v>
      </c>
      <c r="D7" s="492">
        <v>2</v>
      </c>
      <c r="E7" s="510">
        <v>3</v>
      </c>
      <c r="F7" s="605">
        <v>2</v>
      </c>
      <c r="G7" s="492">
        <v>3</v>
      </c>
      <c r="H7" s="492">
        <v>4</v>
      </c>
      <c r="I7" s="492" t="s">
        <v>438</v>
      </c>
      <c r="J7" s="509" t="s">
        <v>595</v>
      </c>
      <c r="K7" s="605">
        <v>3</v>
      </c>
      <c r="L7" s="509" t="s">
        <v>596</v>
      </c>
      <c r="M7" s="510">
        <v>5</v>
      </c>
      <c r="N7" s="511" t="s">
        <v>597</v>
      </c>
      <c r="O7" s="492">
        <v>7</v>
      </c>
      <c r="P7" s="460" t="s">
        <v>520</v>
      </c>
      <c r="Q7" s="495"/>
      <c r="R7" s="495"/>
      <c r="S7" s="495"/>
      <c r="T7" s="495"/>
    </row>
    <row r="8" spans="1:20" s="379" customFormat="1" ht="18.75" customHeight="1">
      <c r="A8" s="566"/>
      <c r="B8" s="566" t="s">
        <v>3</v>
      </c>
      <c r="C8" s="567">
        <f aca="true" t="shared" si="0" ref="C8:M8">C9+C71+C147+C150+C163+C164+C165+C167+C189</f>
        <v>282431618307</v>
      </c>
      <c r="D8" s="567">
        <f t="shared" si="0"/>
        <v>99469099487</v>
      </c>
      <c r="E8" s="567">
        <f t="shared" si="0"/>
        <v>182170209020</v>
      </c>
      <c r="F8" s="567">
        <f t="shared" si="0"/>
        <v>239512115462</v>
      </c>
      <c r="G8" s="567">
        <f t="shared" si="0"/>
        <v>48743586732</v>
      </c>
      <c r="H8" s="567">
        <f t="shared" si="0"/>
        <v>190768528730</v>
      </c>
      <c r="I8" s="567">
        <f t="shared" si="0"/>
        <v>173735325534.13403</v>
      </c>
      <c r="J8" s="567">
        <f>J9+J71+J147+J150+J163+J164+J165+J167+J189</f>
        <v>105590275998.89162</v>
      </c>
      <c r="K8" s="606">
        <f>K9+K71+K147+K150+K163+K164+K165+K167+K189</f>
        <v>0</v>
      </c>
      <c r="L8" s="567">
        <f t="shared" si="0"/>
        <v>32429102853.003323</v>
      </c>
      <c r="M8" s="567">
        <f t="shared" si="0"/>
        <v>381985299924.2</v>
      </c>
      <c r="N8" s="567">
        <f>N9+N71+N147+N150+N163+N164+N165+N167+N189</f>
        <v>45575859969.28</v>
      </c>
      <c r="O8" s="637"/>
      <c r="P8" s="461"/>
      <c r="Q8" s="461"/>
      <c r="R8" s="461"/>
      <c r="S8" s="461"/>
      <c r="T8" s="461"/>
    </row>
    <row r="9" spans="1:20" s="570" customFormat="1" ht="24">
      <c r="A9" s="497" t="s">
        <v>79</v>
      </c>
      <c r="B9" s="498" t="s">
        <v>306</v>
      </c>
      <c r="C9" s="487">
        <f aca="true" t="shared" si="1" ref="C9:N9">C10+C61</f>
        <v>53064529140</v>
      </c>
      <c r="D9" s="487">
        <f t="shared" si="1"/>
        <v>4942163591</v>
      </c>
      <c r="E9" s="487">
        <f t="shared" si="1"/>
        <v>48122365549</v>
      </c>
      <c r="F9" s="487">
        <f t="shared" si="1"/>
        <v>72601042528</v>
      </c>
      <c r="G9" s="487">
        <f t="shared" si="1"/>
        <v>16404210191</v>
      </c>
      <c r="H9" s="487">
        <f t="shared" si="1"/>
        <v>56196832337</v>
      </c>
      <c r="I9" s="487">
        <f t="shared" si="1"/>
        <v>105600908593</v>
      </c>
      <c r="J9" s="487">
        <f>J10+J61</f>
        <v>71532221330</v>
      </c>
      <c r="K9" s="607">
        <f>K10+K61</f>
        <v>0</v>
      </c>
      <c r="L9" s="487">
        <f t="shared" si="1"/>
        <v>13282047623.303324</v>
      </c>
      <c r="M9" s="487">
        <f t="shared" si="1"/>
        <v>46766916000</v>
      </c>
      <c r="N9" s="487">
        <f t="shared" si="1"/>
        <v>18606766400</v>
      </c>
      <c r="O9" s="638"/>
      <c r="P9" s="639"/>
      <c r="Q9" s="639"/>
      <c r="R9" s="639"/>
      <c r="S9" s="639"/>
      <c r="T9" s="639">
        <v>1000000</v>
      </c>
    </row>
    <row r="10" spans="1:20" s="379" customFormat="1" ht="12.75">
      <c r="A10" s="625"/>
      <c r="B10" s="568" t="s">
        <v>198</v>
      </c>
      <c r="C10" s="565">
        <f>C11+C58</f>
        <v>25569990508</v>
      </c>
      <c r="D10" s="565">
        <f aca="true" t="shared" si="2" ref="D10:M10">D11+D58</f>
        <v>0</v>
      </c>
      <c r="E10" s="565">
        <f t="shared" si="2"/>
        <v>25569990508</v>
      </c>
      <c r="F10" s="565">
        <f t="shared" si="2"/>
        <v>36888163137</v>
      </c>
      <c r="G10" s="565">
        <f t="shared" si="2"/>
        <v>0</v>
      </c>
      <c r="H10" s="565">
        <f t="shared" si="2"/>
        <v>36888163137</v>
      </c>
      <c r="I10" s="565">
        <f t="shared" si="2"/>
        <v>29630251500</v>
      </c>
      <c r="J10" s="565">
        <f t="shared" si="2"/>
        <v>29630251500</v>
      </c>
      <c r="K10" s="608">
        <f t="shared" si="2"/>
        <v>0</v>
      </c>
      <c r="L10" s="565">
        <f t="shared" si="2"/>
        <v>12273502823.303324</v>
      </c>
      <c r="M10" s="565">
        <f t="shared" si="2"/>
        <v>12706916000</v>
      </c>
      <c r="N10" s="565">
        <f>N11+N58</f>
        <v>4982766400</v>
      </c>
      <c r="O10" s="569"/>
      <c r="P10" s="461"/>
      <c r="Q10" s="461"/>
      <c r="R10" s="461"/>
      <c r="S10" s="461"/>
      <c r="T10" s="461"/>
    </row>
    <row r="11" spans="1:20" s="379" customFormat="1" ht="17.25" customHeight="1">
      <c r="A11" s="516"/>
      <c r="B11" s="519" t="s">
        <v>519</v>
      </c>
      <c r="C11" s="517">
        <f>SUM(C12:C57)</f>
        <v>24885471048</v>
      </c>
      <c r="D11" s="517">
        <f aca="true" t="shared" si="3" ref="D11:M11">SUM(D12:D57)</f>
        <v>0</v>
      </c>
      <c r="E11" s="517">
        <f t="shared" si="3"/>
        <v>24885471048</v>
      </c>
      <c r="F11" s="517">
        <f t="shared" si="3"/>
        <v>35862449677</v>
      </c>
      <c r="G11" s="517">
        <f t="shared" si="3"/>
        <v>0</v>
      </c>
      <c r="H11" s="517">
        <f t="shared" si="3"/>
        <v>35862449677</v>
      </c>
      <c r="I11" s="517">
        <f t="shared" si="3"/>
        <v>28123591500</v>
      </c>
      <c r="J11" s="517">
        <f t="shared" si="3"/>
        <v>28123591500</v>
      </c>
      <c r="K11" s="609">
        <f t="shared" si="3"/>
        <v>0</v>
      </c>
      <c r="L11" s="517">
        <f t="shared" si="3"/>
        <v>12122893353.613724</v>
      </c>
      <c r="M11" s="517">
        <f t="shared" si="3"/>
        <v>11920068000</v>
      </c>
      <c r="N11" s="517">
        <f>SUM(N12:N57)</f>
        <v>4768027200</v>
      </c>
      <c r="O11" s="520"/>
      <c r="P11" s="461"/>
      <c r="Q11" s="461"/>
      <c r="R11" s="461"/>
      <c r="S11" s="461"/>
      <c r="T11" s="461"/>
    </row>
    <row r="12" spans="1:20" ht="12.75">
      <c r="A12" s="524"/>
      <c r="B12" s="521" t="s">
        <v>473</v>
      </c>
      <c r="C12" s="522">
        <f>D12+E12</f>
        <v>1190279000</v>
      </c>
      <c r="D12" s="523">
        <v>0</v>
      </c>
      <c r="E12" s="523">
        <v>1190279000</v>
      </c>
      <c r="F12" s="523">
        <f>G12+H12</f>
        <v>1778164824</v>
      </c>
      <c r="G12" s="523"/>
      <c r="H12" s="523">
        <v>1778164824</v>
      </c>
      <c r="I12" s="523">
        <v>1284120000</v>
      </c>
      <c r="J12" s="523">
        <f>I12</f>
        <v>1284120000</v>
      </c>
      <c r="K12" s="610"/>
      <c r="L12" s="640">
        <f>(264.67+1.68+0.05)*10^6</f>
        <v>266400000.00000003</v>
      </c>
      <c r="M12" s="523">
        <v>517536000</v>
      </c>
      <c r="N12" s="523">
        <f>M12*O12</f>
        <v>207014400</v>
      </c>
      <c r="O12" s="641">
        <v>0.4</v>
      </c>
      <c r="P12" s="495"/>
      <c r="Q12" s="642">
        <f>'[1]PL 01'!I17*1000000</f>
        <v>0</v>
      </c>
      <c r="R12" s="643">
        <f>1.6848544428*1000000</f>
        <v>1684854.4428</v>
      </c>
      <c r="S12" s="643">
        <v>0.050112000000000004</v>
      </c>
      <c r="T12" s="495"/>
    </row>
    <row r="13" spans="1:20" ht="12.75">
      <c r="A13" s="524"/>
      <c r="B13" s="521" t="s">
        <v>474</v>
      </c>
      <c r="C13" s="522">
        <f aca="true" t="shared" si="4" ref="C13:C57">D13+E13</f>
        <v>825060603</v>
      </c>
      <c r="D13" s="523">
        <v>0</v>
      </c>
      <c r="E13" s="523">
        <v>825060603</v>
      </c>
      <c r="F13" s="523">
        <f aca="true" t="shared" si="5" ref="F13:F57">G13+H13</f>
        <v>1274694576</v>
      </c>
      <c r="G13" s="523"/>
      <c r="H13" s="523">
        <v>1274694576</v>
      </c>
      <c r="I13" s="523">
        <v>968760000</v>
      </c>
      <c r="J13" s="523">
        <f aca="true" t="shared" si="6" ref="J13:J57">I13</f>
        <v>968760000</v>
      </c>
      <c r="K13" s="610"/>
      <c r="L13" s="640">
        <f>(275.89+1.77+0.04)*10^6</f>
        <v>277700000</v>
      </c>
      <c r="M13" s="523">
        <v>386532000</v>
      </c>
      <c r="N13" s="523">
        <f aca="true" t="shared" si="7" ref="N13:N57">M13*O13</f>
        <v>154612800</v>
      </c>
      <c r="O13" s="641">
        <v>0.4</v>
      </c>
      <c r="P13" s="495"/>
      <c r="Q13" s="642">
        <f>'[1]PL 01'!I18*1000000</f>
        <v>117867999.96</v>
      </c>
      <c r="R13" s="643">
        <f>1.77188202*1000000</f>
        <v>1771882.02</v>
      </c>
      <c r="S13" s="643">
        <v>0.03942</v>
      </c>
      <c r="T13" s="495"/>
    </row>
    <row r="14" spans="1:20" ht="12.75">
      <c r="A14" s="524"/>
      <c r="B14" s="521" t="s">
        <v>475</v>
      </c>
      <c r="C14" s="522">
        <f t="shared" si="4"/>
        <v>1183226000</v>
      </c>
      <c r="D14" s="523">
        <v>0</v>
      </c>
      <c r="E14" s="523">
        <v>1183226000</v>
      </c>
      <c r="F14" s="523">
        <f t="shared" si="5"/>
        <v>1699586000</v>
      </c>
      <c r="G14" s="523"/>
      <c r="H14" s="523">
        <v>1699586000</v>
      </c>
      <c r="I14" s="523">
        <v>1298160000</v>
      </c>
      <c r="J14" s="523">
        <f t="shared" si="6"/>
        <v>1298160000</v>
      </c>
      <c r="K14" s="610"/>
      <c r="L14" s="640">
        <f>266717228.676923+(1.73*10^6)</f>
        <v>268447228.67692304</v>
      </c>
      <c r="M14" s="523">
        <v>523152000</v>
      </c>
      <c r="N14" s="523">
        <f t="shared" si="7"/>
        <v>209260800</v>
      </c>
      <c r="O14" s="641">
        <v>0.4</v>
      </c>
      <c r="P14" s="495"/>
      <c r="Q14" s="642">
        <f>'[1]PL 01'!I19*1000000</f>
        <v>117867999.96</v>
      </c>
      <c r="R14" s="643">
        <f>1.71313546153846*T9</f>
        <v>1713135.4615384599</v>
      </c>
      <c r="S14" s="643">
        <v>0.021275999999999996</v>
      </c>
      <c r="T14" s="495"/>
    </row>
    <row r="15" spans="1:20" ht="12.75">
      <c r="A15" s="524"/>
      <c r="B15" s="521" t="s">
        <v>476</v>
      </c>
      <c r="C15" s="522">
        <f t="shared" si="4"/>
        <v>1740377062</v>
      </c>
      <c r="D15" s="523">
        <v>0</v>
      </c>
      <c r="E15" s="523">
        <v>1740377062</v>
      </c>
      <c r="F15" s="523">
        <f t="shared" si="5"/>
        <v>1740377062</v>
      </c>
      <c r="G15" s="523"/>
      <c r="H15" s="523">
        <v>1740377062</v>
      </c>
      <c r="I15" s="523">
        <v>1671300000</v>
      </c>
      <c r="J15" s="523">
        <f t="shared" si="6"/>
        <v>1671300000</v>
      </c>
      <c r="K15" s="610"/>
      <c r="L15" s="640">
        <f>371197423.68+2.46*10^6</f>
        <v>373657423.68</v>
      </c>
      <c r="M15" s="523">
        <v>758160000</v>
      </c>
      <c r="N15" s="523">
        <f t="shared" si="7"/>
        <v>303264000</v>
      </c>
      <c r="O15" s="641">
        <v>0.4</v>
      </c>
      <c r="P15" s="495"/>
      <c r="Q15" s="642">
        <f>'[1]PL 01'!I20*1000000</f>
        <v>0</v>
      </c>
      <c r="R15" s="643">
        <v>2.41562142</v>
      </c>
      <c r="S15" s="643">
        <v>0.041364</v>
      </c>
      <c r="T15" s="495"/>
    </row>
    <row r="16" spans="1:20" ht="12.75">
      <c r="A16" s="524"/>
      <c r="B16" s="521" t="s">
        <v>477</v>
      </c>
      <c r="C16" s="522">
        <f t="shared" si="4"/>
        <v>1015636488</v>
      </c>
      <c r="D16" s="523">
        <v>0</v>
      </c>
      <c r="E16" s="523">
        <v>1015636488</v>
      </c>
      <c r="F16" s="523">
        <f t="shared" si="5"/>
        <v>1471420488</v>
      </c>
      <c r="G16" s="523"/>
      <c r="H16" s="523">
        <v>1471420488</v>
      </c>
      <c r="I16" s="523">
        <v>1124280000</v>
      </c>
      <c r="J16" s="523">
        <f t="shared" si="6"/>
        <v>1124280000</v>
      </c>
      <c r="K16" s="610"/>
      <c r="L16" s="640">
        <f>280160161.152+1.83*10^6</f>
        <v>281990161.152</v>
      </c>
      <c r="M16" s="523">
        <v>451008000</v>
      </c>
      <c r="N16" s="523">
        <f t="shared" si="7"/>
        <v>180403200</v>
      </c>
      <c r="O16" s="641">
        <v>0.4</v>
      </c>
      <c r="P16" s="495"/>
      <c r="Q16" s="642">
        <f>'[1]PL 01'!I21*1000000</f>
        <v>11988360628.05692</v>
      </c>
      <c r="R16" s="643">
        <v>1.7832387600000001</v>
      </c>
      <c r="S16" s="643">
        <v>0.045251999999999994</v>
      </c>
      <c r="T16" s="495"/>
    </row>
    <row r="17" spans="1:20" ht="12.75">
      <c r="A17" s="524"/>
      <c r="B17" s="521" t="s">
        <v>478</v>
      </c>
      <c r="C17" s="522">
        <f t="shared" si="4"/>
        <v>537360000</v>
      </c>
      <c r="D17" s="523">
        <v>0</v>
      </c>
      <c r="E17" s="523">
        <v>537360000</v>
      </c>
      <c r="F17" s="523">
        <f t="shared" si="5"/>
        <v>537360000</v>
      </c>
      <c r="G17" s="523"/>
      <c r="H17" s="523">
        <v>537360000</v>
      </c>
      <c r="I17" s="523">
        <v>657720000</v>
      </c>
      <c r="J17" s="523">
        <f t="shared" si="6"/>
        <v>657720000</v>
      </c>
      <c r="K17" s="610"/>
      <c r="L17" s="640">
        <f>149195073.5712+0.95*10^6</f>
        <v>150145073.5712</v>
      </c>
      <c r="M17" s="523">
        <v>263520000</v>
      </c>
      <c r="N17" s="523">
        <f t="shared" si="7"/>
        <v>105408000</v>
      </c>
      <c r="O17" s="641">
        <v>0.4</v>
      </c>
      <c r="P17" s="495"/>
      <c r="Q17" s="642">
        <f>'[1]PL 01'!I22*1000000</f>
        <v>258455507.44320002</v>
      </c>
      <c r="R17" s="643">
        <v>0.9243072863999998</v>
      </c>
      <c r="S17" s="643">
        <v>0.03132</v>
      </c>
      <c r="T17" s="495"/>
    </row>
    <row r="18" spans="1:20" ht="12.75">
      <c r="A18" s="524"/>
      <c r="B18" s="521" t="s">
        <v>479</v>
      </c>
      <c r="C18" s="522">
        <f t="shared" si="4"/>
        <v>1088813884</v>
      </c>
      <c r="D18" s="523">
        <v>0</v>
      </c>
      <c r="E18" s="523">
        <v>1088813884</v>
      </c>
      <c r="F18" s="523">
        <f>G18+H18</f>
        <v>1585181884</v>
      </c>
      <c r="G18" s="523"/>
      <c r="H18" s="523">
        <v>1585181884</v>
      </c>
      <c r="I18" s="523">
        <v>1246320000</v>
      </c>
      <c r="J18" s="523">
        <f t="shared" si="6"/>
        <v>1246320000</v>
      </c>
      <c r="K18" s="610"/>
      <c r="L18" s="640">
        <f>255761243.28+1.66*10^6</f>
        <v>257421243.28</v>
      </c>
      <c r="M18" s="523">
        <v>508896000</v>
      </c>
      <c r="N18" s="523">
        <f t="shared" si="7"/>
        <v>203558400</v>
      </c>
      <c r="O18" s="641">
        <v>0.4</v>
      </c>
      <c r="P18" s="495"/>
      <c r="Q18" s="642">
        <f>'[1]PL 01'!I23*1000000</f>
        <v>271003687.2</v>
      </c>
      <c r="R18" s="643">
        <v>1.6419267</v>
      </c>
      <c r="S18" s="643">
        <v>0.021060000000000002</v>
      </c>
      <c r="T18" s="495"/>
    </row>
    <row r="19" spans="1:20" ht="12.75">
      <c r="A19" s="524"/>
      <c r="B19" s="521" t="s">
        <v>480</v>
      </c>
      <c r="C19" s="522">
        <f t="shared" si="4"/>
        <v>1473451520</v>
      </c>
      <c r="D19" s="523">
        <v>0</v>
      </c>
      <c r="E19" s="523">
        <v>1473451520</v>
      </c>
      <c r="F19" s="523">
        <f t="shared" si="5"/>
        <v>2093659520</v>
      </c>
      <c r="G19" s="523"/>
      <c r="H19" s="523">
        <v>2093659520</v>
      </c>
      <c r="I19" s="523">
        <v>1595160000</v>
      </c>
      <c r="J19" s="523">
        <f t="shared" si="6"/>
        <v>1595160000</v>
      </c>
      <c r="K19" s="610"/>
      <c r="L19" s="640">
        <f>303318708.8064+1.98*10^6</f>
        <v>305298708.8064</v>
      </c>
      <c r="M19" s="523">
        <v>630288000</v>
      </c>
      <c r="N19" s="523">
        <f t="shared" si="7"/>
        <v>252115200</v>
      </c>
      <c r="O19" s="641">
        <v>0.4</v>
      </c>
      <c r="P19" s="495"/>
      <c r="Q19" s="642">
        <f>'[1]PL 01'!I24*1000000</f>
        <v>264079004.67692316</v>
      </c>
      <c r="R19" s="643">
        <v>1.9219069799999997</v>
      </c>
      <c r="S19" s="643">
        <v>0.062748</v>
      </c>
      <c r="T19" s="495"/>
    </row>
    <row r="20" spans="1:20" ht="12.75">
      <c r="A20" s="524"/>
      <c r="B20" s="521" t="s">
        <v>481</v>
      </c>
      <c r="C20" s="522">
        <f>D20+E20</f>
        <v>857067496</v>
      </c>
      <c r="D20" s="523">
        <v>0</v>
      </c>
      <c r="E20" s="523">
        <v>857067496</v>
      </c>
      <c r="F20" s="523">
        <f t="shared" si="5"/>
        <v>1216153496</v>
      </c>
      <c r="G20" s="523"/>
      <c r="H20" s="523">
        <v>1216153496</v>
      </c>
      <c r="I20" s="523">
        <v>918540000</v>
      </c>
      <c r="J20" s="523">
        <f t="shared" si="6"/>
        <v>918540000</v>
      </c>
      <c r="K20" s="610"/>
      <c r="L20" s="640">
        <f>271064584.08+1.76*10^6</f>
        <v>272824584.08</v>
      </c>
      <c r="M20" s="523">
        <v>372276000</v>
      </c>
      <c r="N20" s="523">
        <f t="shared" si="7"/>
        <v>148910400</v>
      </c>
      <c r="O20" s="641">
        <v>0.4</v>
      </c>
      <c r="P20" s="495"/>
      <c r="Q20" s="642">
        <f>'[1]PL 01'!I25*1000000</f>
        <v>365906287.68000025</v>
      </c>
      <c r="R20" s="643">
        <v>1.7330765399999999</v>
      </c>
      <c r="S20" s="643">
        <v>0.029915999999999998</v>
      </c>
      <c r="T20" s="495"/>
    </row>
    <row r="21" spans="1:20" ht="12.75">
      <c r="A21" s="524"/>
      <c r="B21" s="521" t="s">
        <v>482</v>
      </c>
      <c r="C21" s="522">
        <f t="shared" si="4"/>
        <v>807139360</v>
      </c>
      <c r="D21" s="523">
        <v>0</v>
      </c>
      <c r="E21" s="523">
        <v>807139360</v>
      </c>
      <c r="F21" s="523">
        <f t="shared" si="5"/>
        <v>1268910720</v>
      </c>
      <c r="G21" s="523"/>
      <c r="H21" s="523">
        <v>1268910720</v>
      </c>
      <c r="I21" s="523">
        <v>931837500</v>
      </c>
      <c r="J21" s="523">
        <f t="shared" si="6"/>
        <v>931837500</v>
      </c>
      <c r="K21" s="610"/>
      <c r="L21" s="640">
        <f>307034087.76+(1.98+0.04)*10^6</f>
        <v>309054087.76</v>
      </c>
      <c r="M21" s="523">
        <v>374760000</v>
      </c>
      <c r="N21" s="523">
        <f t="shared" si="7"/>
        <v>149904000</v>
      </c>
      <c r="O21" s="641">
        <v>0.4</v>
      </c>
      <c r="P21" s="495"/>
      <c r="Q21" s="642">
        <f>'[1]PL 01'!I26*1000000</f>
        <v>274386913.152</v>
      </c>
      <c r="R21" s="643">
        <v>1.9770593400000003</v>
      </c>
      <c r="S21" s="643">
        <v>0.040932</v>
      </c>
      <c r="T21" s="495"/>
    </row>
    <row r="22" spans="1:20" ht="12.75">
      <c r="A22" s="524"/>
      <c r="B22" s="521" t="s">
        <v>483</v>
      </c>
      <c r="C22" s="522">
        <f t="shared" si="4"/>
        <v>829808320</v>
      </c>
      <c r="D22" s="523">
        <v>0</v>
      </c>
      <c r="E22" s="523">
        <v>829808320</v>
      </c>
      <c r="F22" s="523">
        <f t="shared" si="5"/>
        <v>1256538320</v>
      </c>
      <c r="G22" s="523"/>
      <c r="H22" s="523">
        <v>1256538320</v>
      </c>
      <c r="I22" s="523">
        <v>971325000</v>
      </c>
      <c r="J22" s="523">
        <f t="shared" si="6"/>
        <v>971325000</v>
      </c>
      <c r="K22" s="610"/>
      <c r="L22" s="640">
        <f>282579325.0128+1.84*10^6</f>
        <v>284419325.0128</v>
      </c>
      <c r="M22" s="523">
        <v>395550000</v>
      </c>
      <c r="N22" s="523">
        <f t="shared" si="7"/>
        <v>158220000</v>
      </c>
      <c r="O22" s="641">
        <v>0.4</v>
      </c>
      <c r="P22" s="495"/>
      <c r="Q22" s="642">
        <f>'[1]PL 01'!I27*1000000</f>
        <v>145311393.57119998</v>
      </c>
      <c r="R22" s="643">
        <v>1.8178474571999996</v>
      </c>
      <c r="S22" s="643">
        <v>0.024191999999999998</v>
      </c>
      <c r="T22" s="495"/>
    </row>
    <row r="23" spans="1:20" ht="12.75">
      <c r="A23" s="524"/>
      <c r="B23" s="521" t="s">
        <v>484</v>
      </c>
      <c r="C23" s="522">
        <f t="shared" si="4"/>
        <v>435127670</v>
      </c>
      <c r="D23" s="523">
        <v>0</v>
      </c>
      <c r="E23" s="523">
        <v>435127670</v>
      </c>
      <c r="F23" s="523">
        <f t="shared" si="5"/>
        <v>536427670</v>
      </c>
      <c r="G23" s="523"/>
      <c r="H23" s="523">
        <v>536427670</v>
      </c>
      <c r="I23" s="523">
        <v>257062500</v>
      </c>
      <c r="J23" s="523">
        <f t="shared" si="6"/>
        <v>257062500</v>
      </c>
      <c r="K23" s="610"/>
      <c r="L23" s="640">
        <f>199575650.304+1.28*10^6</f>
        <v>200855650.304</v>
      </c>
      <c r="M23" s="523">
        <v>104355000</v>
      </c>
      <c r="N23" s="523">
        <f t="shared" si="7"/>
        <v>41742000</v>
      </c>
      <c r="O23" s="641">
        <v>0.4</v>
      </c>
      <c r="P23" s="495"/>
      <c r="Q23" s="642">
        <f>'[1]PL 01'!I28*1000000</f>
        <v>253149803.28</v>
      </c>
      <c r="R23" s="643">
        <v>1.2486031199999998</v>
      </c>
      <c r="S23" s="643">
        <v>0.031428000000000005</v>
      </c>
      <c r="T23" s="495"/>
    </row>
    <row r="24" spans="1:20" ht="12.75">
      <c r="A24" s="524"/>
      <c r="B24" s="521" t="s">
        <v>485</v>
      </c>
      <c r="C24" s="522">
        <f t="shared" si="4"/>
        <v>529918120</v>
      </c>
      <c r="D24" s="523">
        <v>0</v>
      </c>
      <c r="E24" s="523">
        <v>529918120</v>
      </c>
      <c r="F24" s="523">
        <f t="shared" si="5"/>
        <v>810868120</v>
      </c>
      <c r="G24" s="523"/>
      <c r="H24" s="523">
        <v>810868120</v>
      </c>
      <c r="I24" s="523">
        <v>633892500</v>
      </c>
      <c r="J24" s="523">
        <f t="shared" si="6"/>
        <v>633892500</v>
      </c>
      <c r="K24" s="610"/>
      <c r="L24" s="640">
        <f>201733842.7728+1.3*10^6</f>
        <v>203033842.7728</v>
      </c>
      <c r="M24" s="523">
        <v>279720000</v>
      </c>
      <c r="N24" s="523">
        <f t="shared" si="7"/>
        <v>111888000</v>
      </c>
      <c r="O24" s="641">
        <v>0.4</v>
      </c>
      <c r="P24" s="495"/>
      <c r="Q24" s="642">
        <f>'[1]PL 01'!I29*1000000</f>
        <v>295456956.8064002</v>
      </c>
      <c r="R24" s="643">
        <v>1.2718909224</v>
      </c>
      <c r="S24" s="643">
        <v>0.028943999999999998</v>
      </c>
      <c r="T24" s="495"/>
    </row>
    <row r="25" spans="1:20" ht="12.75">
      <c r="A25" s="524"/>
      <c r="B25" s="521" t="s">
        <v>486</v>
      </c>
      <c r="C25" s="522">
        <f t="shared" si="4"/>
        <v>629048000</v>
      </c>
      <c r="D25" s="523">
        <v>0</v>
      </c>
      <c r="E25" s="523">
        <v>629048000</v>
      </c>
      <c r="F25" s="523">
        <f t="shared" si="5"/>
        <v>957938080</v>
      </c>
      <c r="G25" s="523"/>
      <c r="H25" s="523">
        <v>957938080</v>
      </c>
      <c r="I25" s="523">
        <v>723600000</v>
      </c>
      <c r="J25" s="523">
        <f t="shared" si="6"/>
        <v>723600000</v>
      </c>
      <c r="K25" s="610"/>
      <c r="L25" s="640">
        <f>199541674.8+1.3*10^6</f>
        <v>200841674.8</v>
      </c>
      <c r="M25" s="523">
        <v>290520000</v>
      </c>
      <c r="N25" s="523">
        <f t="shared" si="7"/>
        <v>116208000</v>
      </c>
      <c r="O25" s="641">
        <v>0.4</v>
      </c>
      <c r="P25" s="495"/>
      <c r="Q25" s="642">
        <f>'[1]PL 01'!I30*1000000</f>
        <v>267355000.07999995</v>
      </c>
      <c r="R25" s="643">
        <v>1.27992744</v>
      </c>
      <c r="S25" s="643">
        <v>0.020843999999999994</v>
      </c>
      <c r="T25" s="495"/>
    </row>
    <row r="26" spans="1:20" ht="12.75">
      <c r="A26" s="524"/>
      <c r="B26" s="521" t="s">
        <v>487</v>
      </c>
      <c r="C26" s="522">
        <f t="shared" si="4"/>
        <v>511520800</v>
      </c>
      <c r="D26" s="523">
        <v>0</v>
      </c>
      <c r="E26" s="523">
        <v>511520800</v>
      </c>
      <c r="F26" s="523">
        <f t="shared" si="5"/>
        <v>911360800</v>
      </c>
      <c r="G26" s="523"/>
      <c r="H26" s="523">
        <v>911360800</v>
      </c>
      <c r="I26" s="523">
        <v>811350000</v>
      </c>
      <c r="J26" s="523">
        <f t="shared" si="6"/>
        <v>811350000</v>
      </c>
      <c r="K26" s="610"/>
      <c r="L26" s="640">
        <f>236378279.28+1.54*10^6</f>
        <v>237918279.28</v>
      </c>
      <c r="M26" s="523">
        <v>327915000</v>
      </c>
      <c r="N26" s="523">
        <f t="shared" si="7"/>
        <v>131166000</v>
      </c>
      <c r="O26" s="641">
        <v>0.4</v>
      </c>
      <c r="P26" s="495"/>
      <c r="Q26" s="642">
        <f>'[1]PL 01'!I31*1000000</f>
        <v>301958519.76000005</v>
      </c>
      <c r="R26" s="643">
        <v>1.4960457960000002</v>
      </c>
      <c r="S26" s="643">
        <v>0.043212</v>
      </c>
      <c r="T26" s="495"/>
    </row>
    <row r="27" spans="1:20" ht="12.75">
      <c r="A27" s="524"/>
      <c r="B27" s="521" t="s">
        <v>488</v>
      </c>
      <c r="C27" s="522">
        <f t="shared" si="4"/>
        <v>475783072</v>
      </c>
      <c r="D27" s="523">
        <v>0</v>
      </c>
      <c r="E27" s="523">
        <v>475783072</v>
      </c>
      <c r="F27" s="523">
        <f t="shared" si="5"/>
        <v>782728072</v>
      </c>
      <c r="G27" s="523"/>
      <c r="H27" s="523">
        <v>782728072</v>
      </c>
      <c r="I27" s="523">
        <v>673650000</v>
      </c>
      <c r="J27" s="523">
        <f t="shared" si="6"/>
        <v>673650000</v>
      </c>
      <c r="K27" s="610"/>
      <c r="L27" s="640">
        <f>172985665.3488+1.11*10^6</f>
        <v>174095665.3488</v>
      </c>
      <c r="M27" s="523">
        <v>277560000</v>
      </c>
      <c r="N27" s="523">
        <f t="shared" si="7"/>
        <v>111024000</v>
      </c>
      <c r="O27" s="641">
        <v>0.4</v>
      </c>
      <c r="P27" s="495"/>
      <c r="Q27" s="642">
        <f>'[1]PL 01'!I32*1000000</f>
        <v>279579517.0128</v>
      </c>
      <c r="R27" s="643">
        <v>1.0678648392000003</v>
      </c>
      <c r="S27" s="643">
        <v>0.038448</v>
      </c>
      <c r="T27" s="495"/>
    </row>
    <row r="28" spans="1:20" ht="12.75">
      <c r="A28" s="524"/>
      <c r="B28" s="521" t="s">
        <v>489</v>
      </c>
      <c r="C28" s="522">
        <f t="shared" si="4"/>
        <v>432373788</v>
      </c>
      <c r="D28" s="523">
        <v>0</v>
      </c>
      <c r="E28" s="523">
        <v>432373788</v>
      </c>
      <c r="F28" s="523">
        <f t="shared" si="5"/>
        <v>432373788</v>
      </c>
      <c r="G28" s="523"/>
      <c r="H28" s="523">
        <v>432373788</v>
      </c>
      <c r="I28" s="523">
        <v>999000000</v>
      </c>
      <c r="J28" s="523">
        <f t="shared" si="6"/>
        <v>999000000</v>
      </c>
      <c r="K28" s="610"/>
      <c r="L28" s="640">
        <f>293540698.0944+1.93*10^6</f>
        <v>295470698.0944</v>
      </c>
      <c r="M28" s="523">
        <v>407295000</v>
      </c>
      <c r="N28" s="523">
        <f t="shared" si="7"/>
        <v>162918000</v>
      </c>
      <c r="O28" s="641">
        <v>0.4</v>
      </c>
      <c r="P28" s="495"/>
      <c r="Q28" s="642">
        <f>'[1]PL 01'!I33*1000000</f>
        <v>195570578.30399987</v>
      </c>
      <c r="R28" s="643">
        <v>1.905444021599997</v>
      </c>
      <c r="S28" s="643">
        <v>0.0162</v>
      </c>
      <c r="T28" s="495"/>
    </row>
    <row r="29" spans="1:20" ht="12.75">
      <c r="A29" s="524"/>
      <c r="B29" s="521" t="s">
        <v>490</v>
      </c>
      <c r="C29" s="522">
        <f t="shared" si="4"/>
        <v>361316000</v>
      </c>
      <c r="D29" s="523">
        <v>0</v>
      </c>
      <c r="E29" s="523">
        <v>361316000</v>
      </c>
      <c r="F29" s="523">
        <f t="shared" si="5"/>
        <v>393316000</v>
      </c>
      <c r="G29" s="523"/>
      <c r="H29" s="523">
        <v>393316000</v>
      </c>
      <c r="I29" s="523">
        <v>233775000</v>
      </c>
      <c r="J29" s="523">
        <f t="shared" si="6"/>
        <v>233775000</v>
      </c>
      <c r="K29" s="610"/>
      <c r="L29" s="640">
        <f>278520415.272+1.71*10^6</f>
        <v>280230415.272</v>
      </c>
      <c r="M29" s="523">
        <v>98865000</v>
      </c>
      <c r="N29" s="523">
        <f t="shared" si="7"/>
        <v>39546000</v>
      </c>
      <c r="O29" s="641">
        <v>0.4</v>
      </c>
      <c r="P29" s="495"/>
      <c r="Q29" s="642">
        <f>'[1]PL 01'!I34*1000000</f>
        <v>198144786.77279997</v>
      </c>
      <c r="R29" s="643">
        <v>1.6817841324</v>
      </c>
      <c r="S29" s="643">
        <v>0.032292</v>
      </c>
      <c r="T29" s="495"/>
    </row>
    <row r="30" spans="1:20" ht="12.75">
      <c r="A30" s="524"/>
      <c r="B30" s="521" t="s">
        <v>491</v>
      </c>
      <c r="C30" s="522">
        <f t="shared" si="4"/>
        <v>133874520</v>
      </c>
      <c r="D30" s="523">
        <v>0</v>
      </c>
      <c r="E30" s="523">
        <v>133874520</v>
      </c>
      <c r="F30" s="523">
        <f t="shared" si="5"/>
        <v>195478520</v>
      </c>
      <c r="G30" s="523"/>
      <c r="H30" s="523">
        <v>195478520</v>
      </c>
      <c r="I30" s="523">
        <v>86175000</v>
      </c>
      <c r="J30" s="523">
        <f t="shared" si="6"/>
        <v>86175000</v>
      </c>
      <c r="K30" s="610"/>
      <c r="L30" s="640">
        <f>229513703.04+1.34*10^6</f>
        <v>230853703.04</v>
      </c>
      <c r="M30" s="523">
        <v>88767000</v>
      </c>
      <c r="N30" s="523">
        <f t="shared" si="7"/>
        <v>35506800</v>
      </c>
      <c r="O30" s="641">
        <v>0.4</v>
      </c>
      <c r="P30" s="495"/>
      <c r="Q30" s="642">
        <f>'[1]PL 01'!I35*1000000</f>
        <v>196957018.8</v>
      </c>
      <c r="R30" s="643">
        <v>1.30104846</v>
      </c>
      <c r="S30" s="643">
        <v>0.040068</v>
      </c>
      <c r="T30" s="495"/>
    </row>
    <row r="31" spans="1:20" ht="12.75">
      <c r="A31" s="524"/>
      <c r="B31" s="521" t="s">
        <v>492</v>
      </c>
      <c r="C31" s="522">
        <f t="shared" si="4"/>
        <v>685704000</v>
      </c>
      <c r="D31" s="523">
        <v>0</v>
      </c>
      <c r="E31" s="523">
        <v>685704000</v>
      </c>
      <c r="F31" s="523">
        <f t="shared" si="5"/>
        <v>1046089000</v>
      </c>
      <c r="G31" s="523"/>
      <c r="H31" s="523">
        <v>1046089000</v>
      </c>
      <c r="I31" s="523">
        <v>850837500</v>
      </c>
      <c r="J31" s="523">
        <f t="shared" si="6"/>
        <v>850837500</v>
      </c>
      <c r="K31" s="610"/>
      <c r="L31" s="640">
        <f>314545123.3344+2.07*10^6</f>
        <v>316615123.3344</v>
      </c>
      <c r="M31" s="523">
        <v>339795000</v>
      </c>
      <c r="N31" s="523">
        <f t="shared" si="7"/>
        <v>135918000</v>
      </c>
      <c r="O31" s="641">
        <v>0.4</v>
      </c>
      <c r="P31" s="495"/>
      <c r="Q31" s="642">
        <f>'[1]PL 01'!I36*1000000</f>
        <v>231055931.27999997</v>
      </c>
      <c r="R31" s="643">
        <v>2.0367128483999997</v>
      </c>
      <c r="S31" s="643">
        <v>0.028404000000000002</v>
      </c>
      <c r="T31" s="495"/>
    </row>
    <row r="32" spans="1:20" ht="12.75">
      <c r="A32" s="524"/>
      <c r="B32" s="521" t="s">
        <v>493</v>
      </c>
      <c r="C32" s="522">
        <f t="shared" si="4"/>
        <v>418498000</v>
      </c>
      <c r="D32" s="523">
        <v>0</v>
      </c>
      <c r="E32" s="523">
        <v>418498000</v>
      </c>
      <c r="F32" s="523">
        <f t="shared" si="5"/>
        <v>546082000</v>
      </c>
      <c r="G32" s="523"/>
      <c r="H32" s="523">
        <v>546082000</v>
      </c>
      <c r="I32" s="523">
        <v>157612500</v>
      </c>
      <c r="J32" s="523">
        <f t="shared" si="6"/>
        <v>157612500</v>
      </c>
      <c r="K32" s="610"/>
      <c r="L32" s="640">
        <f>226327623.336+1.41*10^6</f>
        <v>227737623.336</v>
      </c>
      <c r="M32" s="523">
        <v>106839000</v>
      </c>
      <c r="N32" s="523">
        <f t="shared" si="7"/>
        <v>42735600</v>
      </c>
      <c r="O32" s="641">
        <v>0.4</v>
      </c>
      <c r="P32" s="495"/>
      <c r="Q32" s="642">
        <f>'[1]PL 01'!I37*1000000</f>
        <v>168218113.3487999</v>
      </c>
      <c r="R32" s="643">
        <v>1.385478</v>
      </c>
      <c r="S32" s="643">
        <v>0.023544000000000002</v>
      </c>
      <c r="T32" s="495"/>
    </row>
    <row r="33" spans="1:20" ht="12.75">
      <c r="A33" s="524"/>
      <c r="B33" s="521" t="s">
        <v>494</v>
      </c>
      <c r="C33" s="522">
        <f t="shared" si="4"/>
        <v>708163748</v>
      </c>
      <c r="D33" s="523">
        <v>0</v>
      </c>
      <c r="E33" s="523">
        <v>708163748</v>
      </c>
      <c r="F33" s="523">
        <f t="shared" si="5"/>
        <v>1031233748</v>
      </c>
      <c r="G33" s="523"/>
      <c r="H33" s="523">
        <v>1031233748</v>
      </c>
      <c r="I33" s="523">
        <v>796500000</v>
      </c>
      <c r="J33" s="523">
        <f t="shared" si="6"/>
        <v>796500000</v>
      </c>
      <c r="K33" s="610"/>
      <c r="L33" s="640">
        <f>258231222.288+1.68*10^6</f>
        <v>259911222.288</v>
      </c>
      <c r="M33" s="523">
        <v>348300000</v>
      </c>
      <c r="N33" s="523">
        <f t="shared" si="7"/>
        <v>139320000</v>
      </c>
      <c r="O33" s="641">
        <v>0.4</v>
      </c>
      <c r="P33" s="495"/>
      <c r="Q33" s="642">
        <f>'[1]PL 01'!I38*1000000</f>
        <v>291652183.0943999</v>
      </c>
      <c r="R33" s="643">
        <v>1.6370456399999997</v>
      </c>
      <c r="S33" s="643">
        <v>0.03942</v>
      </c>
      <c r="T33" s="495"/>
    </row>
    <row r="34" spans="1:20" ht="12.75">
      <c r="A34" s="524"/>
      <c r="B34" s="521" t="s">
        <v>495</v>
      </c>
      <c r="C34" s="522">
        <f t="shared" si="4"/>
        <v>729506000</v>
      </c>
      <c r="D34" s="523">
        <v>0</v>
      </c>
      <c r="E34" s="523">
        <v>729506000</v>
      </c>
      <c r="F34" s="523">
        <f t="shared" si="5"/>
        <v>1433789000</v>
      </c>
      <c r="G34" s="523"/>
      <c r="H34" s="523">
        <v>1433789000</v>
      </c>
      <c r="I34" s="523">
        <v>1057050000</v>
      </c>
      <c r="J34" s="523">
        <f t="shared" si="6"/>
        <v>1057050000</v>
      </c>
      <c r="K34" s="610"/>
      <c r="L34" s="640">
        <f>355736467.656+2.36*10^6</f>
        <v>358096467.656</v>
      </c>
      <c r="M34" s="523">
        <v>414585000</v>
      </c>
      <c r="N34" s="523">
        <f t="shared" si="7"/>
        <v>165834000</v>
      </c>
      <c r="O34" s="641">
        <v>0.4</v>
      </c>
      <c r="P34" s="495"/>
      <c r="Q34" s="642">
        <f>'[1]PL 01'!I39*1000000</f>
        <v>274516207.2720001</v>
      </c>
      <c r="R34" s="643">
        <v>2.3251185540000003</v>
      </c>
      <c r="S34" s="643">
        <v>0.028404000000000002</v>
      </c>
      <c r="T34" s="495"/>
    </row>
    <row r="35" spans="1:20" ht="12.75">
      <c r="A35" s="524"/>
      <c r="B35" s="521" t="s">
        <v>496</v>
      </c>
      <c r="C35" s="522">
        <f t="shared" si="4"/>
        <v>743366000</v>
      </c>
      <c r="D35" s="523">
        <v>0</v>
      </c>
      <c r="E35" s="523">
        <v>743366000</v>
      </c>
      <c r="F35" s="523">
        <f t="shared" si="5"/>
        <v>897431000</v>
      </c>
      <c r="G35" s="523"/>
      <c r="H35" s="523">
        <v>897431000</v>
      </c>
      <c r="I35" s="523">
        <v>300600000</v>
      </c>
      <c r="J35" s="523">
        <f t="shared" si="6"/>
        <v>300600000</v>
      </c>
      <c r="K35" s="610"/>
      <c r="L35" s="640">
        <f>320443225.5456+2.1*10^6</f>
        <v>322543225.5456</v>
      </c>
      <c r="M35" s="523">
        <v>123480000</v>
      </c>
      <c r="N35" s="523">
        <f t="shared" si="7"/>
        <v>49392000</v>
      </c>
      <c r="O35" s="641">
        <v>0.4</v>
      </c>
      <c r="P35" s="495"/>
      <c r="Q35" s="642">
        <f>'[1]PL 01'!I40*1000000</f>
        <v>224545271.03999993</v>
      </c>
      <c r="R35" s="643">
        <v>2.0471342543999995</v>
      </c>
      <c r="S35" s="643">
        <v>0.045251999999999994</v>
      </c>
      <c r="T35" s="495"/>
    </row>
    <row r="36" spans="1:20" ht="12.75">
      <c r="A36" s="524"/>
      <c r="B36" s="521" t="s">
        <v>497</v>
      </c>
      <c r="C36" s="522">
        <f t="shared" si="4"/>
        <v>628278000</v>
      </c>
      <c r="D36" s="523">
        <v>0</v>
      </c>
      <c r="E36" s="523">
        <v>628278000</v>
      </c>
      <c r="F36" s="523">
        <f t="shared" si="5"/>
        <v>948278000</v>
      </c>
      <c r="G36" s="523"/>
      <c r="H36" s="523">
        <v>948278000</v>
      </c>
      <c r="I36" s="523">
        <v>741487500</v>
      </c>
      <c r="J36" s="523">
        <f t="shared" si="6"/>
        <v>741487500</v>
      </c>
      <c r="K36" s="610"/>
      <c r="L36" s="640">
        <f>213734260.1376+1.38*10^6</f>
        <v>215114260.1376</v>
      </c>
      <c r="M36" s="523">
        <v>285930000</v>
      </c>
      <c r="N36" s="523">
        <f t="shared" si="7"/>
        <v>114372000</v>
      </c>
      <c r="O36" s="641">
        <v>0.4</v>
      </c>
      <c r="P36" s="495"/>
      <c r="Q36" s="642">
        <f>'[1]PL 01'!I41*1000000</f>
        <v>310915027.33439994</v>
      </c>
      <c r="R36" s="643">
        <v>1.32767721</v>
      </c>
      <c r="S36" s="643">
        <v>0.054216</v>
      </c>
      <c r="T36" s="495"/>
    </row>
    <row r="37" spans="1:20" ht="12.75">
      <c r="A37" s="524"/>
      <c r="B37" s="521" t="s">
        <v>498</v>
      </c>
      <c r="C37" s="522">
        <f t="shared" si="4"/>
        <v>1224657640</v>
      </c>
      <c r="D37" s="523">
        <v>0</v>
      </c>
      <c r="E37" s="523">
        <v>1224657640</v>
      </c>
      <c r="F37" s="523">
        <f t="shared" si="5"/>
        <v>1936065640</v>
      </c>
      <c r="G37" s="523"/>
      <c r="H37" s="523">
        <v>1936065640</v>
      </c>
      <c r="I37" s="523">
        <v>1516104000</v>
      </c>
      <c r="J37" s="523">
        <f t="shared" si="6"/>
        <v>1516104000</v>
      </c>
      <c r="K37" s="610"/>
      <c r="L37" s="640">
        <f>324110209.6656+2.13*10^6</f>
        <v>326240209.6656</v>
      </c>
      <c r="M37" s="523">
        <v>609120000</v>
      </c>
      <c r="N37" s="523">
        <f t="shared" si="7"/>
        <v>243648000</v>
      </c>
      <c r="O37" s="641">
        <v>0.4</v>
      </c>
      <c r="P37" s="495"/>
      <c r="Q37" s="642">
        <f>'[1]PL 01'!I42*1000000</f>
        <v>223408167.33599988</v>
      </c>
      <c r="R37" s="643">
        <v>2.0737192140000005</v>
      </c>
      <c r="S37" s="643">
        <v>0.056994</v>
      </c>
      <c r="T37" s="495"/>
    </row>
    <row r="38" spans="1:20" ht="12.75">
      <c r="A38" s="524"/>
      <c r="B38" s="521" t="s">
        <v>499</v>
      </c>
      <c r="C38" s="522">
        <f t="shared" si="4"/>
        <v>184314480</v>
      </c>
      <c r="D38" s="523">
        <v>0</v>
      </c>
      <c r="E38" s="523">
        <v>184314480</v>
      </c>
      <c r="F38" s="523">
        <f t="shared" si="5"/>
        <v>524610385</v>
      </c>
      <c r="G38" s="523"/>
      <c r="H38" s="523">
        <v>524610385</v>
      </c>
      <c r="I38" s="523">
        <v>584415000</v>
      </c>
      <c r="J38" s="523">
        <f t="shared" si="6"/>
        <v>584415000</v>
      </c>
      <c r="K38" s="610"/>
      <c r="L38" s="640">
        <f>152375143.4784+0.94*10^6</f>
        <v>153315143.4784</v>
      </c>
      <c r="M38" s="523">
        <v>250452000</v>
      </c>
      <c r="N38" s="523">
        <f t="shared" si="7"/>
        <v>100180800</v>
      </c>
      <c r="O38" s="641">
        <v>0.4</v>
      </c>
      <c r="P38" s="495"/>
      <c r="Q38" s="642">
        <f>'[1]PL 01'!I43*1000000</f>
        <v>253343142.28800008</v>
      </c>
      <c r="R38" s="643">
        <v>0.89221014</v>
      </c>
      <c r="S38" s="643">
        <v>0.05115000000000001</v>
      </c>
      <c r="T38" s="495"/>
    </row>
    <row r="39" spans="1:20" ht="12.75">
      <c r="A39" s="524"/>
      <c r="B39" s="521" t="s">
        <v>500</v>
      </c>
      <c r="C39" s="522">
        <f t="shared" si="4"/>
        <v>65952000</v>
      </c>
      <c r="D39" s="523">
        <v>0</v>
      </c>
      <c r="E39" s="523">
        <v>65952000</v>
      </c>
      <c r="F39" s="523">
        <f t="shared" si="5"/>
        <v>279264000</v>
      </c>
      <c r="G39" s="523"/>
      <c r="H39" s="523">
        <v>279264000</v>
      </c>
      <c r="I39" s="523">
        <v>395280000</v>
      </c>
      <c r="J39" s="523">
        <f t="shared" si="6"/>
        <v>395280000</v>
      </c>
      <c r="K39" s="610"/>
      <c r="L39" s="640">
        <f>140470057.44+0.9*10^6</f>
        <v>141370057.44</v>
      </c>
      <c r="M39" s="523">
        <v>305424000</v>
      </c>
      <c r="N39" s="523">
        <f t="shared" si="7"/>
        <v>122169600</v>
      </c>
      <c r="O39" s="641">
        <v>0.4</v>
      </c>
      <c r="P39" s="495"/>
      <c r="Q39" s="642">
        <f>'[1]PL 01'!I44*1000000</f>
        <v>352214371.656</v>
      </c>
      <c r="R39" s="643">
        <v>0.88582464</v>
      </c>
      <c r="S39" s="643">
        <v>0.014471999999999999</v>
      </c>
      <c r="T39" s="495"/>
    </row>
    <row r="40" spans="1:20" ht="12.75">
      <c r="A40" s="524"/>
      <c r="B40" s="521" t="s">
        <v>501</v>
      </c>
      <c r="C40" s="522">
        <f t="shared" si="4"/>
        <v>355459825</v>
      </c>
      <c r="D40" s="523">
        <v>0</v>
      </c>
      <c r="E40" s="523">
        <v>355459825</v>
      </c>
      <c r="F40" s="523">
        <f t="shared" si="5"/>
        <v>499962825</v>
      </c>
      <c r="G40" s="523"/>
      <c r="H40" s="523">
        <v>499962825</v>
      </c>
      <c r="I40" s="523">
        <v>319455000</v>
      </c>
      <c r="J40" s="523">
        <f t="shared" si="6"/>
        <v>319455000</v>
      </c>
      <c r="K40" s="610"/>
      <c r="L40" s="640">
        <f>308082943.0656+1.9*10^6</f>
        <v>309982943.0656</v>
      </c>
      <c r="M40" s="523">
        <v>121365000</v>
      </c>
      <c r="N40" s="523">
        <f t="shared" si="7"/>
        <v>48546000</v>
      </c>
      <c r="O40" s="641">
        <v>0.4</v>
      </c>
      <c r="P40" s="495"/>
      <c r="Q40" s="642">
        <f>'[1]PL 01'!I45*1000000</f>
        <v>314831977.54560006</v>
      </c>
      <c r="R40" s="643">
        <v>1.8632137643999998</v>
      </c>
      <c r="S40" s="643">
        <v>0.038664000000000004</v>
      </c>
      <c r="T40" s="495"/>
    </row>
    <row r="41" spans="1:20" ht="12.75">
      <c r="A41" s="524"/>
      <c r="B41" s="521" t="s">
        <v>502</v>
      </c>
      <c r="C41" s="522">
        <f t="shared" si="4"/>
        <v>178999280</v>
      </c>
      <c r="D41" s="523">
        <v>0</v>
      </c>
      <c r="E41" s="523">
        <v>178999280</v>
      </c>
      <c r="F41" s="523">
        <f t="shared" si="5"/>
        <v>345349280</v>
      </c>
      <c r="G41" s="523"/>
      <c r="H41" s="523">
        <v>345349280</v>
      </c>
      <c r="I41" s="523">
        <v>240345000</v>
      </c>
      <c r="J41" s="523">
        <f t="shared" si="6"/>
        <v>240345000</v>
      </c>
      <c r="K41" s="610"/>
      <c r="L41" s="640">
        <f>229782776.4+1.43*10^6</f>
        <v>231212776.4</v>
      </c>
      <c r="M41" s="523">
        <v>109395000</v>
      </c>
      <c r="N41" s="523">
        <f t="shared" si="7"/>
        <v>43758000</v>
      </c>
      <c r="O41" s="641">
        <v>0.4</v>
      </c>
      <c r="P41" s="495"/>
      <c r="Q41" s="642">
        <f>'[1]PL 01'!I46*1000000</f>
        <v>206903476.13759995</v>
      </c>
      <c r="R41" s="643">
        <v>1.3952709</v>
      </c>
      <c r="S41" s="643">
        <v>0.030887999999999992</v>
      </c>
      <c r="T41" s="495"/>
    </row>
    <row r="42" spans="1:20" ht="12.75">
      <c r="A42" s="524"/>
      <c r="B42" s="521" t="s">
        <v>503</v>
      </c>
      <c r="C42" s="522">
        <f t="shared" si="4"/>
        <v>313355680</v>
      </c>
      <c r="D42" s="523">
        <v>0</v>
      </c>
      <c r="E42" s="523">
        <v>313355680</v>
      </c>
      <c r="F42" s="523">
        <f t="shared" si="5"/>
        <v>441535680</v>
      </c>
      <c r="G42" s="523"/>
      <c r="H42" s="523">
        <v>441535680</v>
      </c>
      <c r="I42" s="523">
        <v>291937500</v>
      </c>
      <c r="J42" s="523">
        <f t="shared" si="6"/>
        <v>291937500</v>
      </c>
      <c r="K42" s="610"/>
      <c r="L42" s="640">
        <f>286849803.5784+1.75*10^6</f>
        <v>288599803.5784</v>
      </c>
      <c r="M42" s="523">
        <v>125820000</v>
      </c>
      <c r="N42" s="523">
        <f t="shared" si="7"/>
        <v>50328000</v>
      </c>
      <c r="O42" s="641">
        <v>0.4</v>
      </c>
      <c r="P42" s="495"/>
      <c r="Q42" s="642">
        <f>'[1]PL 01'!I47*1000000</f>
        <v>317120719.66560024</v>
      </c>
      <c r="R42" s="643">
        <v>1.7078248980000001</v>
      </c>
      <c r="S42" s="643">
        <v>0.03672</v>
      </c>
      <c r="T42" s="495"/>
    </row>
    <row r="43" spans="1:20" ht="12.75">
      <c r="A43" s="524"/>
      <c r="B43" s="521" t="s">
        <v>504</v>
      </c>
      <c r="C43" s="522">
        <f t="shared" si="4"/>
        <v>286368000</v>
      </c>
      <c r="D43" s="523">
        <v>0</v>
      </c>
      <c r="E43" s="523">
        <v>286368000</v>
      </c>
      <c r="F43" s="523">
        <f t="shared" si="5"/>
        <v>286368000</v>
      </c>
      <c r="G43" s="523"/>
      <c r="H43" s="523">
        <v>286368000</v>
      </c>
      <c r="I43" s="523">
        <v>349650000</v>
      </c>
      <c r="J43" s="523">
        <f t="shared" si="6"/>
        <v>349650000</v>
      </c>
      <c r="K43" s="610"/>
      <c r="L43" s="640">
        <f>371246526.72+2.38*10^6</f>
        <v>373626526.72</v>
      </c>
      <c r="M43" s="523">
        <v>142200000</v>
      </c>
      <c r="N43" s="523">
        <f t="shared" si="7"/>
        <v>56880000</v>
      </c>
      <c r="O43" s="641">
        <v>0.4</v>
      </c>
      <c r="P43" s="495"/>
      <c r="Q43" s="642">
        <f>'[1]PL 01'!I48*1000000</f>
        <v>146083333.4784</v>
      </c>
      <c r="R43" s="643">
        <v>2.34673848</v>
      </c>
      <c r="S43" s="643">
        <v>0.027539999999999995</v>
      </c>
      <c r="T43" s="495"/>
    </row>
    <row r="44" spans="1:20" ht="12.75">
      <c r="A44" s="524"/>
      <c r="B44" s="521" t="s">
        <v>505</v>
      </c>
      <c r="C44" s="522">
        <f t="shared" si="4"/>
        <v>295599280</v>
      </c>
      <c r="D44" s="523">
        <v>0</v>
      </c>
      <c r="E44" s="523">
        <v>295599280</v>
      </c>
      <c r="F44" s="523">
        <f t="shared" si="5"/>
        <v>295599280</v>
      </c>
      <c r="G44" s="523"/>
      <c r="H44" s="523">
        <v>295599280</v>
      </c>
      <c r="I44" s="523">
        <v>306225000</v>
      </c>
      <c r="J44" s="523">
        <f t="shared" si="6"/>
        <v>306225000</v>
      </c>
      <c r="K44" s="610"/>
      <c r="L44" s="640">
        <f>235583054.64+1.46*10^6</f>
        <v>237043054.64</v>
      </c>
      <c r="M44" s="523">
        <v>119880000</v>
      </c>
      <c r="N44" s="523">
        <f t="shared" si="7"/>
        <v>47952000</v>
      </c>
      <c r="O44" s="641">
        <v>0.4</v>
      </c>
      <c r="P44" s="495"/>
      <c r="Q44" s="642">
        <f>'[1]PL 01'!I49*1000000</f>
        <v>138540529.44</v>
      </c>
      <c r="R44" s="643">
        <v>1.4088897</v>
      </c>
      <c r="S44" s="643">
        <v>0.048168</v>
      </c>
      <c r="T44" s="495"/>
    </row>
    <row r="45" spans="1:20" ht="12.75">
      <c r="A45" s="524"/>
      <c r="B45" s="521" t="s">
        <v>506</v>
      </c>
      <c r="C45" s="522">
        <f t="shared" si="4"/>
        <v>199317800</v>
      </c>
      <c r="D45" s="523">
        <v>0</v>
      </c>
      <c r="E45" s="523">
        <v>199317800</v>
      </c>
      <c r="F45" s="523">
        <f t="shared" si="5"/>
        <v>247610800</v>
      </c>
      <c r="G45" s="523"/>
      <c r="H45" s="523">
        <v>247610800</v>
      </c>
      <c r="I45" s="523">
        <v>236295000</v>
      </c>
      <c r="J45" s="523">
        <f t="shared" si="6"/>
        <v>236295000</v>
      </c>
      <c r="K45" s="610"/>
      <c r="L45" s="640">
        <f>229882559.9328+1.42*10^6</f>
        <v>231302559.9328</v>
      </c>
      <c r="M45" s="523">
        <v>97470000</v>
      </c>
      <c r="N45" s="523">
        <f t="shared" si="7"/>
        <v>38988000</v>
      </c>
      <c r="O45" s="641">
        <v>0.4</v>
      </c>
      <c r="P45" s="495"/>
      <c r="Q45" s="642">
        <f>'[1]PL 01'!I50*1000000</f>
        <v>303288607.0656</v>
      </c>
      <c r="R45" s="643">
        <v>1.3776343272000002</v>
      </c>
      <c r="S45" s="643">
        <v>0.03942</v>
      </c>
      <c r="T45" s="495"/>
    </row>
    <row r="46" spans="1:20" ht="12.75">
      <c r="A46" s="524"/>
      <c r="B46" s="521" t="s">
        <v>507</v>
      </c>
      <c r="C46" s="522">
        <f t="shared" si="4"/>
        <v>291681353</v>
      </c>
      <c r="D46" s="523">
        <v>0</v>
      </c>
      <c r="E46" s="523">
        <v>291681353</v>
      </c>
      <c r="F46" s="523">
        <f t="shared" si="5"/>
        <v>413601353</v>
      </c>
      <c r="G46" s="523"/>
      <c r="H46" s="523">
        <v>413601353</v>
      </c>
      <c r="I46" s="523">
        <v>291600000</v>
      </c>
      <c r="J46" s="523">
        <f t="shared" si="6"/>
        <v>291600000</v>
      </c>
      <c r="K46" s="610"/>
      <c r="L46" s="640">
        <f>294820529.9328+1.85*10^6</f>
        <v>296670529.9328</v>
      </c>
      <c r="M46" s="523">
        <v>110880000</v>
      </c>
      <c r="N46" s="523">
        <f t="shared" si="7"/>
        <v>44352000</v>
      </c>
      <c r="O46" s="641">
        <v>0.4</v>
      </c>
      <c r="P46" s="495"/>
      <c r="Q46" s="642">
        <f>'[1]PL 01'!I51*1000000</f>
        <v>225952664.4</v>
      </c>
      <c r="R46" s="643">
        <v>1.8248283072000007</v>
      </c>
      <c r="S46" s="643">
        <v>0.03132</v>
      </c>
      <c r="T46" s="495"/>
    </row>
    <row r="47" spans="1:20" ht="12.75">
      <c r="A47" s="524"/>
      <c r="B47" s="521" t="s">
        <v>508</v>
      </c>
      <c r="C47" s="522">
        <f t="shared" si="4"/>
        <v>197528800</v>
      </c>
      <c r="D47" s="523">
        <v>0</v>
      </c>
      <c r="E47" s="523">
        <v>197528800</v>
      </c>
      <c r="F47" s="523">
        <f t="shared" si="5"/>
        <v>280113600</v>
      </c>
      <c r="G47" s="523"/>
      <c r="H47" s="523">
        <v>280113600</v>
      </c>
      <c r="I47" s="523">
        <v>215437500</v>
      </c>
      <c r="J47" s="523">
        <f t="shared" si="6"/>
        <v>215437500</v>
      </c>
      <c r="K47" s="610"/>
      <c r="L47" s="640">
        <f>242691473.3184+1.52*10^6</f>
        <v>244211473.3184</v>
      </c>
      <c r="M47" s="523">
        <v>86400000</v>
      </c>
      <c r="N47" s="523">
        <f t="shared" si="7"/>
        <v>34560000</v>
      </c>
      <c r="O47" s="641">
        <v>0.4</v>
      </c>
      <c r="P47" s="495"/>
      <c r="Q47" s="642">
        <f>'[1]PL 01'!I52*1000000</f>
        <v>282296523.57839996</v>
      </c>
      <c r="R47" s="643">
        <v>1.4776938216</v>
      </c>
      <c r="S47" s="643">
        <v>0.038448</v>
      </c>
      <c r="T47" s="495"/>
    </row>
    <row r="48" spans="1:20" ht="12.75">
      <c r="A48" s="524"/>
      <c r="B48" s="521" t="s">
        <v>509</v>
      </c>
      <c r="C48" s="522">
        <f t="shared" si="4"/>
        <v>342591840</v>
      </c>
      <c r="D48" s="523">
        <v>0</v>
      </c>
      <c r="E48" s="523">
        <v>342591840</v>
      </c>
      <c r="F48" s="523">
        <f t="shared" si="5"/>
        <v>494361340</v>
      </c>
      <c r="G48" s="523"/>
      <c r="H48" s="523">
        <v>494361340</v>
      </c>
      <c r="I48" s="523">
        <v>262575000</v>
      </c>
      <c r="J48" s="523">
        <f t="shared" si="6"/>
        <v>262575000</v>
      </c>
      <c r="K48" s="610"/>
      <c r="L48" s="640">
        <f>321338083.7808+2.04*10^6</f>
        <v>323378083.7808</v>
      </c>
      <c r="M48" s="523">
        <v>108648000</v>
      </c>
      <c r="N48" s="523">
        <f t="shared" si="7"/>
        <v>43459200</v>
      </c>
      <c r="O48" s="641">
        <v>0.4</v>
      </c>
      <c r="P48" s="495"/>
      <c r="Q48" s="642">
        <f>'[1]PL 01'!I53*1000000</f>
        <v>367831566.7199999</v>
      </c>
      <c r="R48" s="643">
        <v>1.9947001248</v>
      </c>
      <c r="S48" s="643">
        <v>0.0513</v>
      </c>
      <c r="T48" s="495"/>
    </row>
    <row r="49" spans="1:20" ht="12.75">
      <c r="A49" s="524"/>
      <c r="B49" s="521" t="s">
        <v>510</v>
      </c>
      <c r="C49" s="522">
        <f t="shared" si="4"/>
        <v>225624139</v>
      </c>
      <c r="D49" s="523">
        <v>0</v>
      </c>
      <c r="E49" s="523">
        <v>225624139</v>
      </c>
      <c r="F49" s="523">
        <f t="shared" si="5"/>
        <v>373205198</v>
      </c>
      <c r="G49" s="523"/>
      <c r="H49" s="523">
        <v>373205198</v>
      </c>
      <c r="I49" s="523">
        <v>233527500</v>
      </c>
      <c r="J49" s="523">
        <f t="shared" si="6"/>
        <v>233527500</v>
      </c>
      <c r="K49" s="610"/>
      <c r="L49" s="640">
        <f>247668429.168+1.57*10^6</f>
        <v>249238429.168</v>
      </c>
      <c r="M49" s="523">
        <v>104400000</v>
      </c>
      <c r="N49" s="523">
        <f t="shared" si="7"/>
        <v>41760000</v>
      </c>
      <c r="O49" s="641">
        <v>0.4</v>
      </c>
      <c r="P49" s="495"/>
      <c r="Q49" s="642">
        <f>'[1]PL 01'!I54*1000000</f>
        <v>229610222.6399999</v>
      </c>
      <c r="R49" s="643">
        <v>1.5269840820000002</v>
      </c>
      <c r="S49" s="643">
        <v>0.04352400000000001</v>
      </c>
      <c r="T49" s="495"/>
    </row>
    <row r="50" spans="1:20" ht="12.75">
      <c r="A50" s="524"/>
      <c r="B50" s="521" t="s">
        <v>511</v>
      </c>
      <c r="C50" s="522">
        <f t="shared" si="4"/>
        <v>323068000</v>
      </c>
      <c r="D50" s="523">
        <v>0</v>
      </c>
      <c r="E50" s="523">
        <v>323068000</v>
      </c>
      <c r="F50" s="523">
        <f t="shared" si="5"/>
        <v>470904000</v>
      </c>
      <c r="G50" s="523"/>
      <c r="H50" s="523">
        <v>470904000</v>
      </c>
      <c r="I50" s="523">
        <v>274275000</v>
      </c>
      <c r="J50" s="523">
        <f t="shared" si="6"/>
        <v>274275000</v>
      </c>
      <c r="K50" s="610"/>
      <c r="L50" s="640">
        <f>323045218.44+2.05*10^6</f>
        <v>325095218.44</v>
      </c>
      <c r="M50" s="523">
        <v>107685000</v>
      </c>
      <c r="N50" s="523">
        <f t="shared" si="7"/>
        <v>43074000</v>
      </c>
      <c r="O50" s="641">
        <v>0.4</v>
      </c>
      <c r="P50" s="495"/>
      <c r="Q50" s="642">
        <f>'[1]PL 01'!I55*1000000</f>
        <v>224994479.93279994</v>
      </c>
      <c r="R50" s="643">
        <v>2.0114149284000002</v>
      </c>
      <c r="S50" s="643">
        <v>0.042012</v>
      </c>
      <c r="T50" s="495"/>
    </row>
    <row r="51" spans="1:20" ht="12.75">
      <c r="A51" s="524"/>
      <c r="B51" s="521" t="s">
        <v>512</v>
      </c>
      <c r="C51" s="522">
        <f t="shared" si="4"/>
        <v>310605840</v>
      </c>
      <c r="D51" s="523">
        <v>0</v>
      </c>
      <c r="E51" s="523">
        <v>310605840</v>
      </c>
      <c r="F51" s="523">
        <f t="shared" si="5"/>
        <v>453065840</v>
      </c>
      <c r="G51" s="523"/>
      <c r="H51" s="523">
        <v>453065840</v>
      </c>
      <c r="I51" s="523">
        <v>287437500</v>
      </c>
      <c r="J51" s="523">
        <f t="shared" si="6"/>
        <v>287437500</v>
      </c>
      <c r="K51" s="610"/>
      <c r="L51" s="640">
        <f>303250839.5088+1.88*10^6</f>
        <v>305130839.5088</v>
      </c>
      <c r="M51" s="523">
        <v>116370000</v>
      </c>
      <c r="N51" s="523">
        <f t="shared" si="7"/>
        <v>46548000</v>
      </c>
      <c r="O51" s="641">
        <v>0.4</v>
      </c>
      <c r="P51" s="495"/>
      <c r="Q51" s="642">
        <f>'[1]PL 01'!I56*1000000</f>
        <v>290936849.9328001</v>
      </c>
      <c r="R51" s="643">
        <v>1.8380789352</v>
      </c>
      <c r="S51" s="643">
        <v>0.04104</v>
      </c>
      <c r="T51" s="495"/>
    </row>
    <row r="52" spans="1:20" ht="12.75">
      <c r="A52" s="524"/>
      <c r="B52" s="521" t="s">
        <v>513</v>
      </c>
      <c r="C52" s="522">
        <f t="shared" si="4"/>
        <v>162633920</v>
      </c>
      <c r="D52" s="523">
        <v>0</v>
      </c>
      <c r="E52" s="523">
        <v>162633920</v>
      </c>
      <c r="F52" s="523">
        <f t="shared" si="5"/>
        <v>162633920</v>
      </c>
      <c r="G52" s="523"/>
      <c r="H52" s="523">
        <v>162633920</v>
      </c>
      <c r="I52" s="523">
        <v>245025000</v>
      </c>
      <c r="J52" s="523">
        <f t="shared" si="6"/>
        <v>245025000</v>
      </c>
      <c r="K52" s="610"/>
      <c r="L52" s="640">
        <f>238272528.96+1.48*10^6</f>
        <v>239752528.96</v>
      </c>
      <c r="M52" s="523">
        <v>81225000</v>
      </c>
      <c r="N52" s="523">
        <f t="shared" si="7"/>
        <v>32490000</v>
      </c>
      <c r="O52" s="641">
        <v>0.4</v>
      </c>
      <c r="P52" s="495"/>
      <c r="Q52" s="642">
        <f>'[1]PL 01'!I57*1000000</f>
        <v>237869921.31839994</v>
      </c>
      <c r="R52" s="643">
        <v>1.4619992400000001</v>
      </c>
      <c r="S52" s="643">
        <v>0.024515999999999996</v>
      </c>
      <c r="T52" s="495"/>
    </row>
    <row r="53" spans="1:20" ht="12.75">
      <c r="A53" s="524"/>
      <c r="B53" s="521" t="s">
        <v>514</v>
      </c>
      <c r="C53" s="522">
        <f t="shared" si="4"/>
        <v>58224720</v>
      </c>
      <c r="D53" s="523">
        <v>0</v>
      </c>
      <c r="E53" s="523">
        <v>58224720</v>
      </c>
      <c r="F53" s="523">
        <f t="shared" si="5"/>
        <v>97793920</v>
      </c>
      <c r="G53" s="523"/>
      <c r="H53" s="523">
        <v>97793920</v>
      </c>
      <c r="I53" s="523">
        <v>44437500</v>
      </c>
      <c r="J53" s="523">
        <f t="shared" si="6"/>
        <v>44437500</v>
      </c>
      <c r="K53" s="610"/>
      <c r="L53" s="640">
        <f>193040890.5456+1.12*10^6</f>
        <v>194160890.5456</v>
      </c>
      <c r="M53" s="523">
        <v>36720000</v>
      </c>
      <c r="N53" s="523">
        <f t="shared" si="7"/>
        <v>14688000</v>
      </c>
      <c r="O53" s="641">
        <v>0.4</v>
      </c>
      <c r="P53" s="495"/>
      <c r="Q53" s="642">
        <f>'[1]PL 01'!I58*1000000</f>
        <v>314976883.78080004</v>
      </c>
      <c r="R53" s="643">
        <v>1.09013256</v>
      </c>
      <c r="S53" s="643">
        <v>0.030347999999999993</v>
      </c>
      <c r="T53" s="495"/>
    </row>
    <row r="54" spans="1:20" ht="12.75">
      <c r="A54" s="524"/>
      <c r="B54" s="521" t="s">
        <v>515</v>
      </c>
      <c r="C54" s="522">
        <f t="shared" si="4"/>
        <v>829870000</v>
      </c>
      <c r="D54" s="523">
        <v>0</v>
      </c>
      <c r="E54" s="523">
        <v>829870000</v>
      </c>
      <c r="F54" s="523">
        <f t="shared" si="5"/>
        <v>1346042928</v>
      </c>
      <c r="G54" s="523"/>
      <c r="H54" s="523">
        <v>1346042928</v>
      </c>
      <c r="I54" s="523">
        <v>990360000</v>
      </c>
      <c r="J54" s="523">
        <f t="shared" si="6"/>
        <v>990360000</v>
      </c>
      <c r="K54" s="610"/>
      <c r="L54" s="640">
        <f>444842620.32+2.35*10^6</f>
        <v>447192620.32</v>
      </c>
      <c r="M54" s="523">
        <v>461592000</v>
      </c>
      <c r="N54" s="523">
        <f t="shared" si="7"/>
        <v>184636800</v>
      </c>
      <c r="O54" s="641">
        <v>0.4</v>
      </c>
      <c r="P54" s="495"/>
      <c r="Q54" s="642">
        <f>'[1]PL 01'!I60*1000000</f>
        <v>317835730.44</v>
      </c>
      <c r="R54" s="643">
        <v>0.9108531</v>
      </c>
      <c r="S54" s="643">
        <v>0.13138200000000003</v>
      </c>
      <c r="T54" s="495"/>
    </row>
    <row r="55" spans="1:20" ht="12.75">
      <c r="A55" s="524"/>
      <c r="B55" s="521" t="s">
        <v>516</v>
      </c>
      <c r="C55" s="522">
        <f t="shared" si="4"/>
        <v>66921000</v>
      </c>
      <c r="D55" s="523">
        <v>0</v>
      </c>
      <c r="E55" s="523">
        <v>66921000</v>
      </c>
      <c r="F55" s="523">
        <f t="shared" si="5"/>
        <v>66921000</v>
      </c>
      <c r="G55" s="523"/>
      <c r="H55" s="523">
        <v>66921000</v>
      </c>
      <c r="I55" s="523">
        <v>49095000</v>
      </c>
      <c r="J55" s="523">
        <f t="shared" si="6"/>
        <v>49095000</v>
      </c>
      <c r="K55" s="610"/>
      <c r="L55" s="640">
        <f>193396386.8016+1.14*10^6</f>
        <v>194536386.8016</v>
      </c>
      <c r="M55" s="523">
        <v>42768000</v>
      </c>
      <c r="N55" s="523">
        <f t="shared" si="7"/>
        <v>17107200</v>
      </c>
      <c r="O55" s="641">
        <v>0.4</v>
      </c>
      <c r="P55" s="495"/>
      <c r="Q55" s="642">
        <f>'[1]PL 01'!I61*1000000</f>
        <v>298161879.5088001</v>
      </c>
      <c r="R55" s="643">
        <v>2.25386352</v>
      </c>
      <c r="S55" s="643">
        <v>0.100776</v>
      </c>
      <c r="T55" s="495"/>
    </row>
    <row r="56" spans="1:20" ht="12.75">
      <c r="A56" s="524"/>
      <c r="B56" s="521" t="s">
        <v>517</v>
      </c>
      <c r="C56" s="522">
        <f t="shared" si="4"/>
        <v>2000000</v>
      </c>
      <c r="D56" s="523">
        <v>0</v>
      </c>
      <c r="E56" s="523">
        <v>2000000</v>
      </c>
      <c r="F56" s="523">
        <f t="shared" si="5"/>
        <v>2000000</v>
      </c>
      <c r="G56" s="523"/>
      <c r="H56" s="523">
        <v>2000000</v>
      </c>
      <c r="I56" s="523">
        <v>0</v>
      </c>
      <c r="J56" s="523">
        <f t="shared" si="6"/>
        <v>0</v>
      </c>
      <c r="K56" s="610"/>
      <c r="L56" s="640">
        <f>169609368.96+0.88*10^6</f>
        <v>170489368.96</v>
      </c>
      <c r="M56" s="523">
        <v>0</v>
      </c>
      <c r="N56" s="523">
        <f t="shared" si="7"/>
        <v>0</v>
      </c>
      <c r="O56" s="641">
        <v>0.4</v>
      </c>
      <c r="P56" s="495"/>
      <c r="Q56" s="642">
        <f>'[1]PL 01'!I62*1000000</f>
        <v>235232544.95999992</v>
      </c>
      <c r="R56" s="643">
        <v>1.096681464</v>
      </c>
      <c r="S56" s="643">
        <v>0.044928</v>
      </c>
      <c r="T56" s="495"/>
    </row>
    <row r="57" spans="1:20" ht="12.75">
      <c r="A57" s="524"/>
      <c r="B57" s="521" t="s">
        <v>518</v>
      </c>
      <c r="C57" s="522">
        <f t="shared" si="4"/>
        <v>0</v>
      </c>
      <c r="D57" s="523"/>
      <c r="E57" s="523">
        <v>0</v>
      </c>
      <c r="F57" s="523">
        <f t="shared" si="5"/>
        <v>0</v>
      </c>
      <c r="G57" s="523"/>
      <c r="H57" s="523">
        <v>0</v>
      </c>
      <c r="I57" s="523">
        <v>0</v>
      </c>
      <c r="J57" s="523">
        <f t="shared" si="6"/>
        <v>0</v>
      </c>
      <c r="K57" s="610"/>
      <c r="L57" s="640">
        <f>267998221.728+1.67*10^6</f>
        <v>269668221.728</v>
      </c>
      <c r="M57" s="523">
        <v>106650000</v>
      </c>
      <c r="N57" s="523">
        <f t="shared" si="7"/>
        <v>42660000</v>
      </c>
      <c r="O57" s="641">
        <v>0.4</v>
      </c>
      <c r="P57" s="495"/>
      <c r="Q57" s="642">
        <f>'[1]PL 01'!I63*1000000</f>
        <v>189277738.54560003</v>
      </c>
      <c r="R57" s="643">
        <v>0.72959994</v>
      </c>
      <c r="S57" s="643">
        <v>0.15346800000000002</v>
      </c>
      <c r="T57" s="495"/>
    </row>
    <row r="58" spans="1:19" s="461" customFormat="1" ht="17.25" customHeight="1">
      <c r="A58" s="516"/>
      <c r="B58" s="499" t="s">
        <v>521</v>
      </c>
      <c r="C58" s="517">
        <f>SUM(C59:C60)</f>
        <v>684519460</v>
      </c>
      <c r="D58" s="517">
        <f aca="true" t="shared" si="8" ref="D58:O58">SUM(D59:D60)</f>
        <v>0</v>
      </c>
      <c r="E58" s="517">
        <f>SUM(E59:E60)</f>
        <v>684519460</v>
      </c>
      <c r="F58" s="517">
        <f>SUM(F59:F60)</f>
        <v>1025713460</v>
      </c>
      <c r="G58" s="517">
        <f t="shared" si="8"/>
        <v>0</v>
      </c>
      <c r="H58" s="517">
        <f t="shared" si="8"/>
        <v>1025713460</v>
      </c>
      <c r="I58" s="517">
        <f t="shared" si="8"/>
        <v>1506660000</v>
      </c>
      <c r="J58" s="517">
        <f t="shared" si="8"/>
        <v>1506660000</v>
      </c>
      <c r="K58" s="609"/>
      <c r="L58" s="517">
        <f t="shared" si="8"/>
        <v>150609469.6896</v>
      </c>
      <c r="M58" s="517">
        <f t="shared" si="8"/>
        <v>786848000</v>
      </c>
      <c r="N58" s="517">
        <f t="shared" si="8"/>
        <v>214739200</v>
      </c>
      <c r="O58" s="520">
        <f t="shared" si="8"/>
        <v>0.6000000000000001</v>
      </c>
      <c r="P58" s="458"/>
      <c r="Q58" s="458"/>
      <c r="R58" s="458"/>
      <c r="S58" s="458"/>
    </row>
    <row r="59" spans="1:20" ht="12.75">
      <c r="A59" s="524"/>
      <c r="B59" s="523" t="s">
        <v>522</v>
      </c>
      <c r="C59" s="522">
        <f>D59+E59</f>
        <v>684519460</v>
      </c>
      <c r="D59" s="523">
        <v>0</v>
      </c>
      <c r="E59" s="523">
        <v>684519460</v>
      </c>
      <c r="F59" s="523">
        <f>G59+H59</f>
        <v>825713460</v>
      </c>
      <c r="G59" s="523"/>
      <c r="H59" s="523">
        <v>825713460</v>
      </c>
      <c r="I59" s="523">
        <v>906120000</v>
      </c>
      <c r="J59" s="523">
        <v>906120000</v>
      </c>
      <c r="K59" s="610"/>
      <c r="L59" s="640">
        <f>111363479.7696+0.71*10^6</f>
        <v>112073479.7696</v>
      </c>
      <c r="M59" s="640">
        <v>286848000</v>
      </c>
      <c r="N59" s="640">
        <f>M59*O59</f>
        <v>114739200</v>
      </c>
      <c r="O59" s="644">
        <v>0.4</v>
      </c>
      <c r="P59" s="495"/>
      <c r="Q59" s="495"/>
      <c r="R59" s="645"/>
      <c r="S59" s="645"/>
      <c r="T59" s="495"/>
    </row>
    <row r="60" spans="1:20" ht="12.75">
      <c r="A60" s="524"/>
      <c r="B60" s="523" t="s">
        <v>523</v>
      </c>
      <c r="C60" s="522">
        <f>D60+E60</f>
        <v>0</v>
      </c>
      <c r="D60" s="523">
        <v>0</v>
      </c>
      <c r="E60" s="523">
        <v>0</v>
      </c>
      <c r="F60" s="523">
        <f>G60+H60</f>
        <v>200000000</v>
      </c>
      <c r="G60" s="523"/>
      <c r="H60" s="523">
        <v>200000000</v>
      </c>
      <c r="I60" s="523">
        <v>600540000</v>
      </c>
      <c r="J60" s="523">
        <v>600540000</v>
      </c>
      <c r="K60" s="610"/>
      <c r="L60" s="640">
        <f>38105989.92+0.43*10^6</f>
        <v>38535989.92</v>
      </c>
      <c r="M60" s="640">
        <v>500000000</v>
      </c>
      <c r="N60" s="640">
        <f>M60*O60</f>
        <v>100000000</v>
      </c>
      <c r="O60" s="644">
        <v>0.2</v>
      </c>
      <c r="P60" s="495"/>
      <c r="Q60" s="495"/>
      <c r="R60" s="495"/>
      <c r="S60" s="495"/>
      <c r="T60" s="495"/>
    </row>
    <row r="61" spans="1:20" s="379" customFormat="1" ht="12.75">
      <c r="A61" s="516"/>
      <c r="B61" s="518" t="str">
        <f>2d!B14</f>
        <v>+ Đào tạo</v>
      </c>
      <c r="C61" s="517">
        <f>SUM(C62:C70)</f>
        <v>27494538632</v>
      </c>
      <c r="D61" s="517">
        <f aca="true" t="shared" si="9" ref="D61:N61">SUM(D62:D70)</f>
        <v>4942163591</v>
      </c>
      <c r="E61" s="517">
        <f t="shared" si="9"/>
        <v>22552375041</v>
      </c>
      <c r="F61" s="517">
        <f t="shared" si="9"/>
        <v>35712879391</v>
      </c>
      <c r="G61" s="517">
        <f t="shared" si="9"/>
        <v>16404210191</v>
      </c>
      <c r="H61" s="517">
        <f t="shared" si="9"/>
        <v>19308669200</v>
      </c>
      <c r="I61" s="517">
        <f t="shared" si="9"/>
        <v>75970657093</v>
      </c>
      <c r="J61" s="517">
        <f t="shared" si="9"/>
        <v>41901969830</v>
      </c>
      <c r="K61" s="609"/>
      <c r="L61" s="517">
        <f t="shared" si="9"/>
        <v>1008544800</v>
      </c>
      <c r="M61" s="517">
        <f t="shared" si="9"/>
        <v>34060000000</v>
      </c>
      <c r="N61" s="517">
        <f t="shared" si="9"/>
        <v>13624000000</v>
      </c>
      <c r="O61" s="520"/>
      <c r="P61" s="461"/>
      <c r="Q61" s="461"/>
      <c r="R61" s="461"/>
      <c r="S61" s="461"/>
      <c r="T61" s="461"/>
    </row>
    <row r="62" spans="1:20" ht="12.75">
      <c r="A62" s="524"/>
      <c r="B62" s="525" t="str">
        <f>2d!B16</f>
        <v>- Trường Chính trị</v>
      </c>
      <c r="C62" s="522"/>
      <c r="D62" s="522"/>
      <c r="E62" s="526"/>
      <c r="F62" s="523"/>
      <c r="G62" s="523"/>
      <c r="H62" s="523"/>
      <c r="I62" s="523"/>
      <c r="J62" s="523"/>
      <c r="K62" s="610"/>
      <c r="L62" s="523"/>
      <c r="M62" s="523"/>
      <c r="N62" s="523">
        <f>M62*40%</f>
        <v>0</v>
      </c>
      <c r="O62" s="646"/>
      <c r="P62" s="495"/>
      <c r="Q62" s="495"/>
      <c r="R62" s="495"/>
      <c r="S62" s="495"/>
      <c r="T62" s="495"/>
    </row>
    <row r="63" spans="1:20" ht="24">
      <c r="A63" s="524"/>
      <c r="B63" s="527" t="s">
        <v>444</v>
      </c>
      <c r="C63" s="522">
        <f>D63+E63</f>
        <v>502130200</v>
      </c>
      <c r="D63" s="522">
        <v>0</v>
      </c>
      <c r="E63" s="526">
        <v>502130200</v>
      </c>
      <c r="F63" s="523">
        <f>G63+H63</f>
        <v>782130200</v>
      </c>
      <c r="G63" s="523">
        <v>0</v>
      </c>
      <c r="H63" s="523">
        <v>782130200</v>
      </c>
      <c r="I63" s="523">
        <v>1039233093</v>
      </c>
      <c r="J63" s="523">
        <v>304251330</v>
      </c>
      <c r="K63" s="610"/>
      <c r="L63" s="523">
        <f>'Phụ lục 1'!E19*1000000</f>
        <v>116189399.99999999</v>
      </c>
      <c r="M63" s="523">
        <v>360000000</v>
      </c>
      <c r="N63" s="523">
        <f>M63*40%</f>
        <v>144000000</v>
      </c>
      <c r="O63" s="535">
        <v>0.1</v>
      </c>
      <c r="P63" s="495"/>
      <c r="Q63" s="495"/>
      <c r="R63" s="495"/>
      <c r="S63" s="495"/>
      <c r="T63" s="495"/>
    </row>
    <row r="64" spans="1:20" ht="24">
      <c r="A64" s="524"/>
      <c r="B64" s="525" t="str">
        <f>2d!B17</f>
        <v>- Trường Trung cấp nghề 26-3</v>
      </c>
      <c r="C64" s="522"/>
      <c r="D64" s="522"/>
      <c r="E64" s="526"/>
      <c r="F64" s="523"/>
      <c r="G64" s="523"/>
      <c r="H64" s="523"/>
      <c r="I64" s="523"/>
      <c r="J64" s="523"/>
      <c r="K64" s="610"/>
      <c r="L64" s="523"/>
      <c r="M64" s="523"/>
      <c r="N64" s="523">
        <f aca="true" t="shared" si="10" ref="N64:N70">M64*40%</f>
        <v>0</v>
      </c>
      <c r="O64" s="646"/>
      <c r="P64" s="495"/>
      <c r="Q64" s="495"/>
      <c r="R64" s="495"/>
      <c r="S64" s="495"/>
      <c r="T64" s="495"/>
    </row>
    <row r="65" spans="1:20" ht="12.75">
      <c r="A65" s="524"/>
      <c r="B65" s="525" t="str">
        <f>2d!B18</f>
        <v>-Trường TC VHNT</v>
      </c>
      <c r="C65" s="522">
        <f>D65+E65</f>
        <v>285950000</v>
      </c>
      <c r="D65" s="647">
        <v>0</v>
      </c>
      <c r="E65" s="526">
        <v>285950000</v>
      </c>
      <c r="F65" s="523">
        <f>G65+H65</f>
        <v>569844200</v>
      </c>
      <c r="G65" s="523">
        <v>101129200</v>
      </c>
      <c r="H65" s="523">
        <v>468715000</v>
      </c>
      <c r="I65" s="523">
        <v>452823000</v>
      </c>
      <c r="J65" s="523">
        <v>386330000</v>
      </c>
      <c r="K65" s="610"/>
      <c r="L65" s="523">
        <f>'Phụ lục 1'!E18*1000000</f>
        <v>132608400.00000001</v>
      </c>
      <c r="M65" s="523">
        <v>200000000</v>
      </c>
      <c r="N65" s="523">
        <f t="shared" si="10"/>
        <v>80000000</v>
      </c>
      <c r="O65" s="535">
        <v>0.4</v>
      </c>
      <c r="P65" s="495"/>
      <c r="Q65" s="495"/>
      <c r="R65" s="495"/>
      <c r="S65" s="495"/>
      <c r="T65" s="495"/>
    </row>
    <row r="66" spans="1:20" ht="24">
      <c r="A66" s="524"/>
      <c r="B66" s="525" t="str">
        <f>2d!B19</f>
        <v>- Trường PT Năng khiếu thể thao</v>
      </c>
      <c r="C66" s="522"/>
      <c r="D66" s="522"/>
      <c r="E66" s="526"/>
      <c r="F66" s="523">
        <v>0</v>
      </c>
      <c r="G66" s="523">
        <v>0</v>
      </c>
      <c r="H66" s="523">
        <v>0</v>
      </c>
      <c r="I66" s="523">
        <v>0</v>
      </c>
      <c r="J66" s="523">
        <v>0</v>
      </c>
      <c r="K66" s="610"/>
      <c r="L66" s="523">
        <v>0</v>
      </c>
      <c r="M66" s="523">
        <v>0</v>
      </c>
      <c r="N66" s="523">
        <f t="shared" si="10"/>
        <v>0</v>
      </c>
      <c r="O66" s="646">
        <v>0</v>
      </c>
      <c r="P66" s="495"/>
      <c r="Q66" s="495"/>
      <c r="R66" s="495"/>
      <c r="S66" s="495"/>
      <c r="T66" s="495"/>
    </row>
    <row r="67" spans="1:20" ht="24">
      <c r="A67" s="524"/>
      <c r="B67" s="525" t="str">
        <f>2d!B20</f>
        <v>- Trường TC nghề Giao thông Vận tải</v>
      </c>
      <c r="C67" s="522">
        <f>D67+E67</f>
        <v>1595981000</v>
      </c>
      <c r="D67" s="522">
        <v>0</v>
      </c>
      <c r="E67" s="526">
        <v>1595981000</v>
      </c>
      <c r="F67" s="523">
        <f>G67+H67</f>
        <v>821648000</v>
      </c>
      <c r="G67" s="523">
        <v>821648000</v>
      </c>
      <c r="H67" s="523">
        <v>0</v>
      </c>
      <c r="I67" s="523">
        <v>10212255000</v>
      </c>
      <c r="J67" s="523">
        <v>2054120000</v>
      </c>
      <c r="K67" s="610"/>
      <c r="L67" s="523">
        <f>'Phụ lục 1'!E21*1000000</f>
        <v>114900000</v>
      </c>
      <c r="M67" s="523">
        <v>1500000000</v>
      </c>
      <c r="N67" s="523">
        <f t="shared" si="10"/>
        <v>600000000</v>
      </c>
      <c r="O67" s="535">
        <v>0.1</v>
      </c>
      <c r="P67" s="495"/>
      <c r="Q67" s="495"/>
      <c r="R67" s="495"/>
      <c r="S67" s="495"/>
      <c r="T67" s="495"/>
    </row>
    <row r="68" spans="1:20" s="83" customFormat="1" ht="12.75">
      <c r="A68" s="648"/>
      <c r="B68" s="528" t="str">
        <f>2d!B21</f>
        <v>- Trường ĐH Đồng Nai</v>
      </c>
      <c r="C68" s="529"/>
      <c r="D68" s="529"/>
      <c r="E68" s="530"/>
      <c r="F68" s="531"/>
      <c r="G68" s="531"/>
      <c r="H68" s="531"/>
      <c r="I68" s="531"/>
      <c r="J68" s="531"/>
      <c r="K68" s="610"/>
      <c r="L68" s="531"/>
      <c r="M68" s="531"/>
      <c r="N68" s="523">
        <f t="shared" si="10"/>
        <v>0</v>
      </c>
      <c r="O68" s="649"/>
      <c r="P68" s="650"/>
      <c r="Q68" s="650"/>
      <c r="R68" s="650"/>
      <c r="S68" s="650"/>
      <c r="T68" s="650"/>
    </row>
    <row r="69" spans="1:20" ht="12.75">
      <c r="A69" s="524"/>
      <c r="B69" s="525" t="str">
        <f>2d!B22</f>
        <v>- Trường Cao đẳng Y tế</v>
      </c>
      <c r="C69" s="522">
        <f>D69+E69</f>
        <v>13957824000</v>
      </c>
      <c r="D69" s="522"/>
      <c r="E69" s="526">
        <v>13957824000</v>
      </c>
      <c r="F69" s="523">
        <f>G69+H69</f>
        <v>24497093400</v>
      </c>
      <c r="G69" s="523">
        <v>10539269400</v>
      </c>
      <c r="H69" s="523">
        <v>13957824000</v>
      </c>
      <c r="I69" s="523">
        <v>48450089000</v>
      </c>
      <c r="J69" s="523">
        <v>26348173500</v>
      </c>
      <c r="K69" s="610"/>
      <c r="L69" s="523">
        <f>'Phụ lục 1'!E23*1000000</f>
        <v>266325600</v>
      </c>
      <c r="M69" s="523">
        <v>20000000000</v>
      </c>
      <c r="N69" s="523">
        <f t="shared" si="10"/>
        <v>8000000000</v>
      </c>
      <c r="O69" s="535">
        <v>0.4</v>
      </c>
      <c r="P69" s="495"/>
      <c r="Q69" s="495"/>
      <c r="R69" s="495"/>
      <c r="S69" s="495"/>
      <c r="T69" s="495"/>
    </row>
    <row r="70" spans="1:20" ht="24">
      <c r="A70" s="651"/>
      <c r="B70" s="571" t="s">
        <v>439</v>
      </c>
      <c r="C70" s="572">
        <f>D70+E70</f>
        <v>11152653432</v>
      </c>
      <c r="D70" s="572">
        <v>4942163591</v>
      </c>
      <c r="E70" s="573">
        <v>6210489841</v>
      </c>
      <c r="F70" s="574">
        <f>G70+H70</f>
        <v>9042163591</v>
      </c>
      <c r="G70" s="574">
        <v>4942163591</v>
      </c>
      <c r="H70" s="574">
        <v>4100000000</v>
      </c>
      <c r="I70" s="574">
        <v>15816257000</v>
      </c>
      <c r="J70" s="574">
        <v>12809095000</v>
      </c>
      <c r="K70" s="610"/>
      <c r="L70" s="574">
        <f>'Phụ lục 1'!E24*1000000</f>
        <v>378521400</v>
      </c>
      <c r="M70" s="574">
        <v>12000000000</v>
      </c>
      <c r="N70" s="523">
        <f t="shared" si="10"/>
        <v>4800000000</v>
      </c>
      <c r="O70" s="652">
        <v>0.1</v>
      </c>
      <c r="P70" s="495"/>
      <c r="Q70" s="495"/>
      <c r="R70" s="495"/>
      <c r="S70" s="495"/>
      <c r="T70" s="495"/>
    </row>
    <row r="71" spans="1:15" s="577" customFormat="1" ht="21.75" customHeight="1">
      <c r="A71" s="497" t="s">
        <v>24</v>
      </c>
      <c r="B71" s="498" t="s">
        <v>472</v>
      </c>
      <c r="C71" s="487">
        <f>C72+C82+C93+C135</f>
        <v>186102425549</v>
      </c>
      <c r="D71" s="487">
        <f aca="true" t="shared" si="11" ref="D71:N71">D72+D82+D93+D135</f>
        <v>81635043700</v>
      </c>
      <c r="E71" s="487">
        <f t="shared" si="11"/>
        <v>104467381849</v>
      </c>
      <c r="F71" s="487">
        <f t="shared" si="11"/>
        <v>135010160006</v>
      </c>
      <c r="G71" s="487">
        <f t="shared" si="11"/>
        <v>18515317249</v>
      </c>
      <c r="H71" s="487">
        <f t="shared" si="11"/>
        <v>116494842757</v>
      </c>
      <c r="I71" s="487">
        <f t="shared" si="11"/>
        <v>0</v>
      </c>
      <c r="J71" s="487">
        <f t="shared" si="11"/>
        <v>0</v>
      </c>
      <c r="K71" s="487"/>
      <c r="L71" s="487">
        <f t="shared" si="11"/>
        <v>14603890000</v>
      </c>
      <c r="M71" s="487">
        <f t="shared" si="11"/>
        <v>288695000000</v>
      </c>
      <c r="N71" s="487">
        <f t="shared" si="11"/>
        <v>19978250000</v>
      </c>
      <c r="O71" s="576"/>
    </row>
    <row r="72" spans="1:20" s="466" customFormat="1" ht="15">
      <c r="A72" s="625" t="s">
        <v>59</v>
      </c>
      <c r="B72" s="483" t="s">
        <v>534</v>
      </c>
      <c r="C72" s="565">
        <f>SUM(C73:C81)</f>
        <v>91047131839</v>
      </c>
      <c r="D72" s="565">
        <f aca="true" t="shared" si="12" ref="D72:M72">SUM(D73:D81)</f>
        <v>54777229436</v>
      </c>
      <c r="E72" s="565">
        <f t="shared" si="12"/>
        <v>36269902403</v>
      </c>
      <c r="F72" s="565">
        <f t="shared" si="12"/>
        <v>61107577579</v>
      </c>
      <c r="G72" s="565">
        <f t="shared" si="12"/>
        <v>14908038046</v>
      </c>
      <c r="H72" s="565">
        <f t="shared" si="12"/>
        <v>46199539533</v>
      </c>
      <c r="I72" s="565">
        <f t="shared" si="12"/>
        <v>0</v>
      </c>
      <c r="J72" s="565">
        <f t="shared" si="12"/>
        <v>0</v>
      </c>
      <c r="K72" s="565"/>
      <c r="L72" s="565">
        <f t="shared" si="12"/>
        <v>5239520000</v>
      </c>
      <c r="M72" s="565">
        <f t="shared" si="12"/>
        <v>208400000000</v>
      </c>
      <c r="N72" s="565">
        <f>SUM(N73:N81)</f>
        <v>8265000000</v>
      </c>
      <c r="O72" s="653"/>
      <c r="P72" s="461"/>
      <c r="Q72" s="461"/>
      <c r="R72" s="461"/>
      <c r="S72" s="461"/>
      <c r="T72" s="461"/>
    </row>
    <row r="73" spans="1:20" s="484" customFormat="1" ht="14.25">
      <c r="A73" s="524" t="s">
        <v>573</v>
      </c>
      <c r="B73" s="542" t="s">
        <v>535</v>
      </c>
      <c r="C73" s="522">
        <f>D73+E73</f>
        <v>20120296307</v>
      </c>
      <c r="D73" s="654">
        <v>16712326307</v>
      </c>
      <c r="E73" s="654">
        <v>3407970000</v>
      </c>
      <c r="F73" s="523">
        <f>G73+H73</f>
        <v>3407970000</v>
      </c>
      <c r="G73" s="654"/>
      <c r="H73" s="654">
        <v>3407970000</v>
      </c>
      <c r="I73" s="523"/>
      <c r="J73" s="523"/>
      <c r="K73" s="610"/>
      <c r="L73" s="532">
        <v>0</v>
      </c>
      <c r="M73" s="533">
        <v>58000000000</v>
      </c>
      <c r="N73" s="654">
        <f>M73*O73</f>
        <v>0</v>
      </c>
      <c r="O73" s="626">
        <v>0</v>
      </c>
      <c r="P73" s="495"/>
      <c r="Q73" s="495"/>
      <c r="R73" s="495"/>
      <c r="S73" s="495"/>
      <c r="T73" s="495"/>
    </row>
    <row r="74" spans="1:20" s="466" customFormat="1" ht="15">
      <c r="A74" s="524" t="s">
        <v>573</v>
      </c>
      <c r="B74" s="542" t="s">
        <v>536</v>
      </c>
      <c r="C74" s="522">
        <f aca="true" t="shared" si="13" ref="C74:C81">D74+E74</f>
        <v>10507549100</v>
      </c>
      <c r="D74" s="654">
        <v>10337364044</v>
      </c>
      <c r="E74" s="654">
        <v>170185056</v>
      </c>
      <c r="F74" s="523">
        <f aca="true" t="shared" si="14" ref="F74:F81">G74+H74</f>
        <v>1098730511</v>
      </c>
      <c r="G74" s="654"/>
      <c r="H74" s="654">
        <v>1098730511</v>
      </c>
      <c r="I74" s="499"/>
      <c r="J74" s="499"/>
      <c r="K74" s="610"/>
      <c r="L74" s="532">
        <v>2108710000</v>
      </c>
      <c r="M74" s="533">
        <v>40000000000</v>
      </c>
      <c r="N74" s="654">
        <f aca="true" t="shared" si="15" ref="N74:N81">M74*O74</f>
        <v>4000000000</v>
      </c>
      <c r="O74" s="626">
        <v>0.1</v>
      </c>
      <c r="P74" s="461"/>
      <c r="Q74" s="461"/>
      <c r="R74" s="461"/>
      <c r="S74" s="461"/>
      <c r="T74" s="461"/>
    </row>
    <row r="75" spans="1:20" s="466" customFormat="1" ht="15">
      <c r="A75" s="524" t="s">
        <v>573</v>
      </c>
      <c r="B75" s="542" t="s">
        <v>537</v>
      </c>
      <c r="C75" s="522">
        <f t="shared" si="13"/>
        <v>15619230759</v>
      </c>
      <c r="D75" s="654">
        <v>13622153846</v>
      </c>
      <c r="E75" s="654">
        <v>1997076913</v>
      </c>
      <c r="F75" s="523">
        <f t="shared" si="14"/>
        <v>15684309548</v>
      </c>
      <c r="G75" s="654">
        <v>13687232635</v>
      </c>
      <c r="H75" s="654">
        <v>1997076913</v>
      </c>
      <c r="I75" s="499"/>
      <c r="J75" s="499"/>
      <c r="K75" s="610"/>
      <c r="L75" s="532">
        <v>0</v>
      </c>
      <c r="M75" s="533">
        <v>46000000000</v>
      </c>
      <c r="N75" s="654">
        <f t="shared" si="15"/>
        <v>0</v>
      </c>
      <c r="O75" s="626">
        <v>0</v>
      </c>
      <c r="P75" s="461"/>
      <c r="Q75" s="461"/>
      <c r="R75" s="461"/>
      <c r="S75" s="461"/>
      <c r="T75" s="461"/>
    </row>
    <row r="76" spans="1:20" s="466" customFormat="1" ht="15">
      <c r="A76" s="524" t="s">
        <v>573</v>
      </c>
      <c r="B76" s="542" t="s">
        <v>538</v>
      </c>
      <c r="C76" s="522">
        <f t="shared" si="13"/>
        <v>23322649635</v>
      </c>
      <c r="D76" s="654">
        <v>2337692064</v>
      </c>
      <c r="E76" s="654">
        <v>20984957571</v>
      </c>
      <c r="F76" s="523">
        <f t="shared" si="14"/>
        <v>23322649635</v>
      </c>
      <c r="G76" s="654"/>
      <c r="H76" s="654">
        <v>23322649635</v>
      </c>
      <c r="I76" s="499"/>
      <c r="J76" s="499"/>
      <c r="K76" s="610"/>
      <c r="L76" s="532">
        <v>992830000</v>
      </c>
      <c r="M76" s="533">
        <v>18000000000</v>
      </c>
      <c r="N76" s="654">
        <f t="shared" si="15"/>
        <v>1800000000</v>
      </c>
      <c r="O76" s="626">
        <v>0.1</v>
      </c>
      <c r="P76" s="461"/>
      <c r="Q76" s="461"/>
      <c r="R76" s="461"/>
      <c r="S76" s="461"/>
      <c r="T76" s="461"/>
    </row>
    <row r="77" spans="1:20" s="466" customFormat="1" ht="15">
      <c r="A77" s="524" t="s">
        <v>573</v>
      </c>
      <c r="B77" s="542" t="s">
        <v>539</v>
      </c>
      <c r="C77" s="522">
        <f t="shared" si="13"/>
        <v>7848710885</v>
      </c>
      <c r="D77" s="654">
        <v>5312281051</v>
      </c>
      <c r="E77" s="654">
        <v>2536429834</v>
      </c>
      <c r="F77" s="523">
        <f t="shared" si="14"/>
        <v>5040582279</v>
      </c>
      <c r="G77" s="654"/>
      <c r="H77" s="654">
        <v>5040582279</v>
      </c>
      <c r="I77" s="499"/>
      <c r="J77" s="499"/>
      <c r="K77" s="610"/>
      <c r="L77" s="532">
        <v>0</v>
      </c>
      <c r="M77" s="533">
        <v>25000000000</v>
      </c>
      <c r="N77" s="654">
        <f t="shared" si="15"/>
        <v>0</v>
      </c>
      <c r="O77" s="626">
        <v>0</v>
      </c>
      <c r="P77" s="461"/>
      <c r="Q77" s="461"/>
      <c r="R77" s="461"/>
      <c r="S77" s="461"/>
      <c r="T77" s="461"/>
    </row>
    <row r="78" spans="1:20" s="466" customFormat="1" ht="15">
      <c r="A78" s="524" t="s">
        <v>573</v>
      </c>
      <c r="B78" s="542" t="s">
        <v>540</v>
      </c>
      <c r="C78" s="522">
        <f t="shared" si="13"/>
        <v>8183358137</v>
      </c>
      <c r="D78" s="654">
        <v>2168300531</v>
      </c>
      <c r="E78" s="654">
        <v>6015057606</v>
      </c>
      <c r="F78" s="523">
        <f t="shared" si="14"/>
        <v>9383358137</v>
      </c>
      <c r="G78" s="654"/>
      <c r="H78" s="654">
        <v>9383358137</v>
      </c>
      <c r="I78" s="499"/>
      <c r="J78" s="499"/>
      <c r="K78" s="610"/>
      <c r="L78" s="532">
        <v>1050030000</v>
      </c>
      <c r="M78" s="533">
        <v>15000000000</v>
      </c>
      <c r="N78" s="654">
        <f t="shared" si="15"/>
        <v>1500000000</v>
      </c>
      <c r="O78" s="626">
        <v>0.1</v>
      </c>
      <c r="P78" s="461"/>
      <c r="Q78" s="461"/>
      <c r="R78" s="461"/>
      <c r="S78" s="461"/>
      <c r="T78" s="461"/>
    </row>
    <row r="79" spans="1:20" s="466" customFormat="1" ht="15">
      <c r="A79" s="524" t="s">
        <v>573</v>
      </c>
      <c r="B79" s="542" t="s">
        <v>541</v>
      </c>
      <c r="C79" s="522">
        <f t="shared" si="13"/>
        <v>2522172058</v>
      </c>
      <c r="D79" s="654">
        <v>1563946635</v>
      </c>
      <c r="E79" s="654">
        <v>958225423</v>
      </c>
      <c r="F79" s="523">
        <f t="shared" si="14"/>
        <v>2469977469</v>
      </c>
      <c r="G79" s="654">
        <v>1220805411</v>
      </c>
      <c r="H79" s="654">
        <v>1249172058</v>
      </c>
      <c r="I79" s="499"/>
      <c r="J79" s="499"/>
      <c r="K79" s="610"/>
      <c r="L79" s="532">
        <v>502230000</v>
      </c>
      <c r="M79" s="533">
        <v>5100000000</v>
      </c>
      <c r="N79" s="654">
        <f t="shared" si="15"/>
        <v>510000000</v>
      </c>
      <c r="O79" s="626">
        <v>0.1</v>
      </c>
      <c r="P79" s="461"/>
      <c r="Q79" s="461"/>
      <c r="R79" s="461"/>
      <c r="S79" s="461"/>
      <c r="T79" s="461"/>
    </row>
    <row r="80" spans="1:20" s="466" customFormat="1" ht="15">
      <c r="A80" s="524" t="s">
        <v>573</v>
      </c>
      <c r="B80" s="542" t="s">
        <v>542</v>
      </c>
      <c r="C80" s="522">
        <f t="shared" si="13"/>
        <v>0</v>
      </c>
      <c r="D80" s="654"/>
      <c r="E80" s="654"/>
      <c r="F80" s="523">
        <f t="shared" si="14"/>
        <v>0</v>
      </c>
      <c r="G80" s="499">
        <v>0</v>
      </c>
      <c r="H80" s="499">
        <v>0</v>
      </c>
      <c r="I80" s="499"/>
      <c r="J80" s="499"/>
      <c r="K80" s="610">
        <f aca="true" t="shared" si="16" ref="K73:K81">E80+H80</f>
        <v>0</v>
      </c>
      <c r="L80" s="532">
        <v>255700000</v>
      </c>
      <c r="M80" s="533">
        <v>300000000</v>
      </c>
      <c r="N80" s="654">
        <f t="shared" si="15"/>
        <v>105000000</v>
      </c>
      <c r="O80" s="626">
        <v>0.35</v>
      </c>
      <c r="P80" s="461"/>
      <c r="Q80" s="461"/>
      <c r="R80" s="461"/>
      <c r="S80" s="461"/>
      <c r="T80" s="461"/>
    </row>
    <row r="81" spans="1:20" s="466" customFormat="1" ht="15">
      <c r="A81" s="524" t="s">
        <v>573</v>
      </c>
      <c r="B81" s="542" t="s">
        <v>543</v>
      </c>
      <c r="C81" s="522">
        <f t="shared" si="13"/>
        <v>2923164958</v>
      </c>
      <c r="D81" s="654">
        <v>2723164958</v>
      </c>
      <c r="E81" s="654">
        <v>200000000</v>
      </c>
      <c r="F81" s="523">
        <f t="shared" si="14"/>
        <v>700000000</v>
      </c>
      <c r="G81" s="654"/>
      <c r="H81" s="654">
        <v>700000000</v>
      </c>
      <c r="I81" s="499"/>
      <c r="J81" s="499"/>
      <c r="K81" s="610">
        <f t="shared" si="16"/>
        <v>900000000</v>
      </c>
      <c r="L81" s="532">
        <v>330020000</v>
      </c>
      <c r="M81" s="533">
        <v>1000000000</v>
      </c>
      <c r="N81" s="654">
        <f t="shared" si="15"/>
        <v>350000000</v>
      </c>
      <c r="O81" s="626">
        <v>0.35</v>
      </c>
      <c r="P81" s="461"/>
      <c r="Q81" s="461"/>
      <c r="R81" s="461"/>
      <c r="S81" s="461"/>
      <c r="T81" s="461"/>
    </row>
    <row r="82" spans="1:20" s="466" customFormat="1" ht="15">
      <c r="A82" s="655" t="s">
        <v>60</v>
      </c>
      <c r="B82" s="656" t="s">
        <v>544</v>
      </c>
      <c r="C82" s="517">
        <f>SUM(C83:C92)</f>
        <v>20331108415</v>
      </c>
      <c r="D82" s="517">
        <f aca="true" t="shared" si="17" ref="D82:M82">SUM(D83:D92)</f>
        <v>2125888710</v>
      </c>
      <c r="E82" s="517">
        <f t="shared" si="17"/>
        <v>18205219705</v>
      </c>
      <c r="F82" s="517">
        <f t="shared" si="17"/>
        <v>17611941368</v>
      </c>
      <c r="G82" s="517">
        <f t="shared" si="17"/>
        <v>1699886804</v>
      </c>
      <c r="H82" s="517">
        <f t="shared" si="17"/>
        <v>15912054564</v>
      </c>
      <c r="I82" s="517">
        <f t="shared" si="17"/>
        <v>0</v>
      </c>
      <c r="J82" s="517">
        <f t="shared" si="17"/>
        <v>0</v>
      </c>
      <c r="K82" s="609"/>
      <c r="L82" s="517">
        <f t="shared" si="17"/>
        <v>1139630000</v>
      </c>
      <c r="M82" s="517">
        <f t="shared" si="17"/>
        <v>12915000000</v>
      </c>
      <c r="N82" s="517">
        <f>SUM(N83:N92)</f>
        <v>1505250000</v>
      </c>
      <c r="O82" s="657"/>
      <c r="P82" s="461"/>
      <c r="Q82" s="461"/>
      <c r="R82" s="461"/>
      <c r="S82" s="461"/>
      <c r="T82" s="461"/>
    </row>
    <row r="83" spans="1:20" s="466" customFormat="1" ht="15">
      <c r="A83" s="516" t="s">
        <v>573</v>
      </c>
      <c r="B83" s="542" t="s">
        <v>545</v>
      </c>
      <c r="C83" s="522">
        <f>D83+E83</f>
        <v>2602118497</v>
      </c>
      <c r="D83" s="654">
        <v>207459933</v>
      </c>
      <c r="E83" s="654">
        <v>2394658564</v>
      </c>
      <c r="F83" s="523">
        <f>G83+H83</f>
        <v>2630003770</v>
      </c>
      <c r="G83" s="654"/>
      <c r="H83" s="654">
        <v>2630003770</v>
      </c>
      <c r="I83" s="499"/>
      <c r="J83" s="499"/>
      <c r="K83" s="612"/>
      <c r="L83" s="532">
        <v>284570000</v>
      </c>
      <c r="M83" s="533">
        <v>3000000000</v>
      </c>
      <c r="N83" s="654">
        <f>M83*O83</f>
        <v>300000000</v>
      </c>
      <c r="O83" s="626">
        <v>0.1</v>
      </c>
      <c r="P83" s="461"/>
      <c r="Q83" s="461"/>
      <c r="R83" s="461"/>
      <c r="S83" s="461"/>
      <c r="T83" s="461"/>
    </row>
    <row r="84" spans="1:20" s="466" customFormat="1" ht="15">
      <c r="A84" s="516" t="s">
        <v>573</v>
      </c>
      <c r="B84" s="542" t="s">
        <v>546</v>
      </c>
      <c r="C84" s="522">
        <f>D84+E84</f>
        <v>514736155</v>
      </c>
      <c r="D84" s="654">
        <v>73047739</v>
      </c>
      <c r="E84" s="654">
        <v>441688416</v>
      </c>
      <c r="F84" s="523">
        <f>G84+H84</f>
        <v>480753163</v>
      </c>
      <c r="G84" s="654">
        <v>39064747</v>
      </c>
      <c r="H84" s="654">
        <v>441688416</v>
      </c>
      <c r="I84" s="499"/>
      <c r="J84" s="499"/>
      <c r="K84" s="612"/>
      <c r="L84" s="532">
        <v>55270000</v>
      </c>
      <c r="M84" s="533">
        <v>200000000</v>
      </c>
      <c r="N84" s="654">
        <f aca="true" t="shared" si="18" ref="N84:N92">M84*O84</f>
        <v>70000000</v>
      </c>
      <c r="O84" s="626">
        <v>0.35</v>
      </c>
      <c r="P84" s="461"/>
      <c r="Q84" s="461"/>
      <c r="R84" s="461"/>
      <c r="S84" s="461"/>
      <c r="T84" s="461"/>
    </row>
    <row r="85" spans="1:20" s="466" customFormat="1" ht="15">
      <c r="A85" s="516" t="s">
        <v>573</v>
      </c>
      <c r="B85" s="542" t="s">
        <v>547</v>
      </c>
      <c r="C85" s="522">
        <f aca="true" t="shared" si="19" ref="C85:C92">D85+E85</f>
        <v>6257545977</v>
      </c>
      <c r="D85" s="654">
        <v>383672344</v>
      </c>
      <c r="E85" s="654">
        <v>5873873633</v>
      </c>
      <c r="F85" s="523">
        <f aca="true" t="shared" si="20" ref="F85:F92">G85+H85</f>
        <v>3471541650</v>
      </c>
      <c r="G85" s="654">
        <v>379995673</v>
      </c>
      <c r="H85" s="654">
        <v>3091545977</v>
      </c>
      <c r="I85" s="499"/>
      <c r="J85" s="499"/>
      <c r="K85" s="612"/>
      <c r="L85" s="532">
        <v>143910000</v>
      </c>
      <c r="M85" s="533">
        <v>3000000000</v>
      </c>
      <c r="N85" s="654">
        <f t="shared" si="18"/>
        <v>300000000</v>
      </c>
      <c r="O85" s="626">
        <v>0.1</v>
      </c>
      <c r="P85" s="461"/>
      <c r="Q85" s="461"/>
      <c r="R85" s="461"/>
      <c r="S85" s="461"/>
      <c r="T85" s="461"/>
    </row>
    <row r="86" spans="1:20" s="466" customFormat="1" ht="15">
      <c r="A86" s="516" t="s">
        <v>573</v>
      </c>
      <c r="B86" s="542" t="s">
        <v>548</v>
      </c>
      <c r="C86" s="522">
        <f t="shared" si="19"/>
        <v>570909150</v>
      </c>
      <c r="D86" s="654">
        <v>180882310</v>
      </c>
      <c r="E86" s="654">
        <v>390026840</v>
      </c>
      <c r="F86" s="523">
        <f t="shared" si="20"/>
        <v>643844149</v>
      </c>
      <c r="G86" s="654"/>
      <c r="H86" s="654">
        <v>643844149</v>
      </c>
      <c r="I86" s="499"/>
      <c r="J86" s="499"/>
      <c r="K86" s="612"/>
      <c r="L86" s="532">
        <v>113490000</v>
      </c>
      <c r="M86" s="533">
        <v>500000000</v>
      </c>
      <c r="N86" s="654">
        <f t="shared" si="18"/>
        <v>175000000</v>
      </c>
      <c r="O86" s="626">
        <v>0.35</v>
      </c>
      <c r="P86" s="461"/>
      <c r="Q86" s="461"/>
      <c r="R86" s="461"/>
      <c r="S86" s="461"/>
      <c r="T86" s="461"/>
    </row>
    <row r="87" spans="1:20" s="466" customFormat="1" ht="15">
      <c r="A87" s="516" t="s">
        <v>573</v>
      </c>
      <c r="B87" s="542" t="s">
        <v>549</v>
      </c>
      <c r="C87" s="522">
        <f t="shared" si="19"/>
        <v>0</v>
      </c>
      <c r="D87" s="654">
        <v>0</v>
      </c>
      <c r="E87" s="654">
        <v>0</v>
      </c>
      <c r="F87" s="523">
        <f t="shared" si="20"/>
        <v>0</v>
      </c>
      <c r="G87" s="654"/>
      <c r="H87" s="654"/>
      <c r="I87" s="499"/>
      <c r="J87" s="499"/>
      <c r="K87" s="612"/>
      <c r="L87" s="532">
        <v>38020000</v>
      </c>
      <c r="M87" s="533"/>
      <c r="N87" s="654"/>
      <c r="O87" s="626" t="s">
        <v>533</v>
      </c>
      <c r="P87" s="461"/>
      <c r="Q87" s="461"/>
      <c r="R87" s="461"/>
      <c r="S87" s="461"/>
      <c r="T87" s="461"/>
    </row>
    <row r="88" spans="1:20" s="466" customFormat="1" ht="15">
      <c r="A88" s="516" t="s">
        <v>573</v>
      </c>
      <c r="B88" s="542" t="s">
        <v>550</v>
      </c>
      <c r="C88" s="522">
        <f t="shared" si="19"/>
        <v>16463850</v>
      </c>
      <c r="D88" s="654">
        <v>2225100</v>
      </c>
      <c r="E88" s="654">
        <v>14238750</v>
      </c>
      <c r="F88" s="523">
        <f t="shared" si="20"/>
        <v>16463850</v>
      </c>
      <c r="G88" s="654">
        <v>2225100</v>
      </c>
      <c r="H88" s="654">
        <v>14238750</v>
      </c>
      <c r="I88" s="499"/>
      <c r="J88" s="499"/>
      <c r="K88" s="612"/>
      <c r="L88" s="532">
        <v>89320000</v>
      </c>
      <c r="M88" s="533">
        <v>15000000</v>
      </c>
      <c r="N88" s="654">
        <f t="shared" si="18"/>
        <v>5250000</v>
      </c>
      <c r="O88" s="626">
        <v>0.35</v>
      </c>
      <c r="P88" s="461"/>
      <c r="Q88" s="461"/>
      <c r="R88" s="461"/>
      <c r="S88" s="461"/>
      <c r="T88" s="461"/>
    </row>
    <row r="89" spans="1:20" s="466" customFormat="1" ht="15">
      <c r="A89" s="516" t="s">
        <v>573</v>
      </c>
      <c r="B89" s="542" t="s">
        <v>551</v>
      </c>
      <c r="C89" s="522">
        <f t="shared" si="19"/>
        <v>4063834653</v>
      </c>
      <c r="D89" s="654">
        <v>470165064</v>
      </c>
      <c r="E89" s="654">
        <v>3593669589</v>
      </c>
      <c r="F89" s="523">
        <f t="shared" si="20"/>
        <v>4063834653</v>
      </c>
      <c r="G89" s="654">
        <v>470165064</v>
      </c>
      <c r="H89" s="654">
        <v>3593669589</v>
      </c>
      <c r="I89" s="499"/>
      <c r="J89" s="499"/>
      <c r="K89" s="612"/>
      <c r="L89" s="532">
        <v>249940000</v>
      </c>
      <c r="M89" s="533">
        <v>2500000000</v>
      </c>
      <c r="N89" s="654">
        <f t="shared" si="18"/>
        <v>250000000</v>
      </c>
      <c r="O89" s="626">
        <v>0.1</v>
      </c>
      <c r="P89" s="461"/>
      <c r="Q89" s="461"/>
      <c r="R89" s="461"/>
      <c r="S89" s="461"/>
      <c r="T89" s="461"/>
    </row>
    <row r="90" spans="1:20" s="466" customFormat="1" ht="15">
      <c r="A90" s="516" t="s">
        <v>573</v>
      </c>
      <c r="B90" s="542" t="s">
        <v>552</v>
      </c>
      <c r="C90" s="522">
        <f t="shared" si="19"/>
        <v>1213076140</v>
      </c>
      <c r="D90" s="654">
        <v>-39845860</v>
      </c>
      <c r="E90" s="654">
        <v>1252922000</v>
      </c>
      <c r="F90" s="523">
        <f t="shared" si="20"/>
        <v>1213076140</v>
      </c>
      <c r="G90" s="654">
        <v>-39845860</v>
      </c>
      <c r="H90" s="654">
        <v>1252922000</v>
      </c>
      <c r="I90" s="499"/>
      <c r="J90" s="499"/>
      <c r="K90" s="612"/>
      <c r="L90" s="532">
        <v>57540000</v>
      </c>
      <c r="M90" s="533">
        <v>700000000</v>
      </c>
      <c r="N90" s="654">
        <f t="shared" si="18"/>
        <v>105000000</v>
      </c>
      <c r="O90" s="626">
        <v>0.15</v>
      </c>
      <c r="P90" s="461"/>
      <c r="Q90" s="461"/>
      <c r="R90" s="461"/>
      <c r="S90" s="461"/>
      <c r="T90" s="461"/>
    </row>
    <row r="91" spans="1:20" s="466" customFormat="1" ht="15">
      <c r="A91" s="516" t="s">
        <v>573</v>
      </c>
      <c r="B91" s="542" t="s">
        <v>553</v>
      </c>
      <c r="C91" s="522">
        <f t="shared" si="19"/>
        <v>2893456758</v>
      </c>
      <c r="D91" s="654">
        <v>0</v>
      </c>
      <c r="E91" s="654">
        <v>2893456758</v>
      </c>
      <c r="F91" s="523">
        <f t="shared" si="20"/>
        <v>2893456758</v>
      </c>
      <c r="G91" s="654">
        <v>0</v>
      </c>
      <c r="H91" s="654">
        <v>2893456758</v>
      </c>
      <c r="I91" s="499"/>
      <c r="J91" s="499"/>
      <c r="K91" s="612"/>
      <c r="L91" s="532">
        <v>42640000</v>
      </c>
      <c r="M91" s="533">
        <v>2000000000</v>
      </c>
      <c r="N91" s="654">
        <f t="shared" si="18"/>
        <v>200000000</v>
      </c>
      <c r="O91" s="626">
        <v>0.1</v>
      </c>
      <c r="P91" s="461"/>
      <c r="Q91" s="461"/>
      <c r="R91" s="461"/>
      <c r="S91" s="461"/>
      <c r="T91" s="461"/>
    </row>
    <row r="92" spans="1:20" s="466" customFormat="1" ht="15">
      <c r="A92" s="516" t="s">
        <v>573</v>
      </c>
      <c r="B92" s="542" t="s">
        <v>554</v>
      </c>
      <c r="C92" s="522">
        <f t="shared" si="19"/>
        <v>2198967235</v>
      </c>
      <c r="D92" s="654">
        <v>848282080</v>
      </c>
      <c r="E92" s="654">
        <v>1350685155</v>
      </c>
      <c r="F92" s="523">
        <f t="shared" si="20"/>
        <v>2198967235</v>
      </c>
      <c r="G92" s="654">
        <v>848282080</v>
      </c>
      <c r="H92" s="654">
        <v>1350685155</v>
      </c>
      <c r="I92" s="499"/>
      <c r="J92" s="499"/>
      <c r="K92" s="612"/>
      <c r="L92" s="532">
        <v>64930000</v>
      </c>
      <c r="M92" s="533">
        <v>1000000000</v>
      </c>
      <c r="N92" s="654">
        <f t="shared" si="18"/>
        <v>100000000</v>
      </c>
      <c r="O92" s="626">
        <v>0.1</v>
      </c>
      <c r="P92" s="461"/>
      <c r="Q92" s="461"/>
      <c r="R92" s="461"/>
      <c r="S92" s="461"/>
      <c r="T92" s="461"/>
    </row>
    <row r="93" spans="1:20" s="466" customFormat="1" ht="15">
      <c r="A93" s="516" t="s">
        <v>586</v>
      </c>
      <c r="B93" s="656" t="s">
        <v>555</v>
      </c>
      <c r="C93" s="517">
        <f>C94+C98+C101+C105+C109+C113+C117+C120+C124+C128+C132</f>
        <v>74696490501</v>
      </c>
      <c r="D93" s="517">
        <f aca="true" t="shared" si="21" ref="D93:N93">D94+D98+D101+D105+D109+D113+D117+D120+D124+D128+D132</f>
        <v>24731925554</v>
      </c>
      <c r="E93" s="517">
        <f t="shared" si="21"/>
        <v>49964564947</v>
      </c>
      <c r="F93" s="517">
        <f t="shared" si="21"/>
        <v>56262787365</v>
      </c>
      <c r="G93" s="517">
        <f t="shared" si="21"/>
        <v>1907392399</v>
      </c>
      <c r="H93" s="517">
        <f t="shared" si="21"/>
        <v>54355394966</v>
      </c>
      <c r="I93" s="517">
        <f t="shared" si="21"/>
        <v>0</v>
      </c>
      <c r="J93" s="517">
        <f t="shared" si="21"/>
        <v>0</v>
      </c>
      <c r="K93" s="609"/>
      <c r="L93" s="517">
        <f t="shared" si="21"/>
        <v>8036240000</v>
      </c>
      <c r="M93" s="517">
        <f t="shared" si="21"/>
        <v>67380000000</v>
      </c>
      <c r="N93" s="517">
        <f t="shared" si="21"/>
        <v>10208000000</v>
      </c>
      <c r="O93" s="657"/>
      <c r="P93" s="461"/>
      <c r="Q93" s="461"/>
      <c r="R93" s="461"/>
      <c r="S93" s="461"/>
      <c r="T93" s="461"/>
    </row>
    <row r="94" spans="1:20" s="466" customFormat="1" ht="15">
      <c r="A94" s="516" t="s">
        <v>573</v>
      </c>
      <c r="B94" s="656" t="s">
        <v>556</v>
      </c>
      <c r="C94" s="517">
        <f>SUM(C95:C97)</f>
        <v>9660388620</v>
      </c>
      <c r="D94" s="517">
        <f aca="true" t="shared" si="22" ref="D94:M94">SUM(D95:D97)</f>
        <v>2577812221</v>
      </c>
      <c r="E94" s="517">
        <f t="shared" si="22"/>
        <v>7082576399</v>
      </c>
      <c r="F94" s="517">
        <f t="shared" si="22"/>
        <v>7438826399</v>
      </c>
      <c r="G94" s="517">
        <f t="shared" si="22"/>
        <v>0</v>
      </c>
      <c r="H94" s="517">
        <f t="shared" si="22"/>
        <v>7438826399</v>
      </c>
      <c r="I94" s="517">
        <f t="shared" si="22"/>
        <v>0</v>
      </c>
      <c r="J94" s="517">
        <f t="shared" si="22"/>
        <v>0</v>
      </c>
      <c r="K94" s="609"/>
      <c r="L94" s="517">
        <f t="shared" si="22"/>
        <v>501360000</v>
      </c>
      <c r="M94" s="517">
        <f t="shared" si="22"/>
        <v>4850000000</v>
      </c>
      <c r="N94" s="517">
        <f>SUM(N95:N97)</f>
        <v>572500000</v>
      </c>
      <c r="O94" s="657"/>
      <c r="P94" s="461"/>
      <c r="Q94" s="461"/>
      <c r="R94" s="461"/>
      <c r="S94" s="461"/>
      <c r="T94" s="461"/>
    </row>
    <row r="95" spans="1:20" s="484" customFormat="1" ht="14.25">
      <c r="A95" s="524"/>
      <c r="B95" s="542" t="s">
        <v>557</v>
      </c>
      <c r="C95" s="522">
        <f>D95+E95</f>
        <v>9462641385</v>
      </c>
      <c r="D95" s="654">
        <v>2702042934</v>
      </c>
      <c r="E95" s="654">
        <v>6760598451</v>
      </c>
      <c r="F95" s="523">
        <f>G95+H95</f>
        <v>7438826399</v>
      </c>
      <c r="G95" s="654"/>
      <c r="H95" s="654">
        <v>7438826399</v>
      </c>
      <c r="I95" s="523"/>
      <c r="J95" s="523"/>
      <c r="K95" s="610"/>
      <c r="L95" s="532">
        <v>394150000</v>
      </c>
      <c r="M95" s="533">
        <v>4500000000</v>
      </c>
      <c r="N95" s="654">
        <f>M95*O95</f>
        <v>450000000</v>
      </c>
      <c r="O95" s="626">
        <v>0.1</v>
      </c>
      <c r="P95" s="495"/>
      <c r="Q95" s="495"/>
      <c r="R95" s="495"/>
      <c r="S95" s="495"/>
      <c r="T95" s="495"/>
    </row>
    <row r="96" spans="1:20" s="484" customFormat="1" ht="14.25">
      <c r="A96" s="524"/>
      <c r="B96" s="542" t="s">
        <v>558</v>
      </c>
      <c r="C96" s="522">
        <f>D96+E96</f>
        <v>197747235</v>
      </c>
      <c r="D96" s="654">
        <v>-124230713</v>
      </c>
      <c r="E96" s="654">
        <v>321977948</v>
      </c>
      <c r="F96" s="523">
        <f>G96+H96</f>
        <v>0</v>
      </c>
      <c r="G96" s="654"/>
      <c r="H96" s="654"/>
      <c r="I96" s="523"/>
      <c r="J96" s="523"/>
      <c r="K96" s="610"/>
      <c r="L96" s="532">
        <v>107210000</v>
      </c>
      <c r="M96" s="533">
        <v>350000000</v>
      </c>
      <c r="N96" s="654">
        <f>M96*O96</f>
        <v>122499999.99999999</v>
      </c>
      <c r="O96" s="626">
        <v>0.35</v>
      </c>
      <c r="P96" s="495"/>
      <c r="Q96" s="495"/>
      <c r="R96" s="495"/>
      <c r="S96" s="495"/>
      <c r="T96" s="495"/>
    </row>
    <row r="97" spans="1:20" s="484" customFormat="1" ht="14.25">
      <c r="A97" s="524"/>
      <c r="B97" s="542" t="s">
        <v>559</v>
      </c>
      <c r="C97" s="522">
        <f>D97+E97</f>
        <v>0</v>
      </c>
      <c r="D97" s="654"/>
      <c r="E97" s="654"/>
      <c r="F97" s="523">
        <f>G97+H97</f>
        <v>0</v>
      </c>
      <c r="G97" s="654"/>
      <c r="H97" s="654"/>
      <c r="I97" s="523"/>
      <c r="J97" s="523"/>
      <c r="K97" s="610"/>
      <c r="L97" s="532"/>
      <c r="M97" s="533"/>
      <c r="N97" s="654">
        <f>M97*O97</f>
        <v>0</v>
      </c>
      <c r="O97" s="626"/>
      <c r="P97" s="495"/>
      <c r="Q97" s="495"/>
      <c r="R97" s="495"/>
      <c r="S97" s="495"/>
      <c r="T97" s="495"/>
    </row>
    <row r="98" spans="1:20" s="466" customFormat="1" ht="15">
      <c r="A98" s="516" t="s">
        <v>573</v>
      </c>
      <c r="B98" s="656" t="s">
        <v>560</v>
      </c>
      <c r="C98" s="517">
        <f>SUM(C99:C100)</f>
        <v>1310766770</v>
      </c>
      <c r="D98" s="517">
        <f aca="true" t="shared" si="23" ref="D98:N98">SUM(D99:D100)</f>
        <v>384550548</v>
      </c>
      <c r="E98" s="517">
        <f t="shared" si="23"/>
        <v>926216222</v>
      </c>
      <c r="F98" s="517">
        <f t="shared" si="23"/>
        <v>1310766770</v>
      </c>
      <c r="G98" s="517">
        <f t="shared" si="23"/>
        <v>0</v>
      </c>
      <c r="H98" s="517">
        <f t="shared" si="23"/>
        <v>1310766770</v>
      </c>
      <c r="I98" s="517">
        <f t="shared" si="23"/>
        <v>0</v>
      </c>
      <c r="J98" s="517">
        <f t="shared" si="23"/>
        <v>0</v>
      </c>
      <c r="K98" s="609"/>
      <c r="L98" s="517">
        <f t="shared" si="23"/>
        <v>444820000</v>
      </c>
      <c r="M98" s="517">
        <f t="shared" si="23"/>
        <v>2500000000</v>
      </c>
      <c r="N98" s="517">
        <f t="shared" si="23"/>
        <v>375000000</v>
      </c>
      <c r="O98" s="657"/>
      <c r="P98" s="461"/>
      <c r="Q98" s="461"/>
      <c r="R98" s="461"/>
      <c r="S98" s="461"/>
      <c r="T98" s="461"/>
    </row>
    <row r="99" spans="1:20" s="466" customFormat="1" ht="15">
      <c r="A99" s="516"/>
      <c r="B99" s="542" t="s">
        <v>560</v>
      </c>
      <c r="C99" s="522">
        <f>D99+E99</f>
        <v>1310766770</v>
      </c>
      <c r="D99" s="654">
        <v>384550548</v>
      </c>
      <c r="E99" s="654">
        <v>926216222</v>
      </c>
      <c r="F99" s="523">
        <f>G99+H99</f>
        <v>1310766770</v>
      </c>
      <c r="G99" s="654"/>
      <c r="H99" s="654">
        <v>1310766770</v>
      </c>
      <c r="I99" s="499"/>
      <c r="J99" s="499"/>
      <c r="K99" s="612"/>
      <c r="L99" s="532">
        <v>143040000</v>
      </c>
      <c r="M99" s="533">
        <v>2000000000</v>
      </c>
      <c r="N99" s="654">
        <f>M99*O99</f>
        <v>200000000</v>
      </c>
      <c r="O99" s="626">
        <v>0.1</v>
      </c>
      <c r="P99" s="461"/>
      <c r="Q99" s="461"/>
      <c r="R99" s="461"/>
      <c r="S99" s="461"/>
      <c r="T99" s="461"/>
    </row>
    <row r="100" spans="1:20" s="466" customFormat="1" ht="15">
      <c r="A100" s="516"/>
      <c r="B100" s="542" t="s">
        <v>561</v>
      </c>
      <c r="C100" s="522">
        <f>D100+E100</f>
        <v>0</v>
      </c>
      <c r="D100" s="654"/>
      <c r="E100" s="654"/>
      <c r="F100" s="523">
        <f>G100+H100</f>
        <v>0</v>
      </c>
      <c r="G100" s="654"/>
      <c r="H100" s="654"/>
      <c r="I100" s="499"/>
      <c r="J100" s="499"/>
      <c r="K100" s="612"/>
      <c r="L100" s="532">
        <v>301780000</v>
      </c>
      <c r="M100" s="533">
        <v>500000000</v>
      </c>
      <c r="N100" s="654">
        <f>M100*O100</f>
        <v>175000000</v>
      </c>
      <c r="O100" s="626">
        <v>0.35</v>
      </c>
      <c r="P100" s="461"/>
      <c r="Q100" s="461"/>
      <c r="R100" s="461"/>
      <c r="S100" s="461"/>
      <c r="T100" s="461"/>
    </row>
    <row r="101" spans="1:20" s="466" customFormat="1" ht="15">
      <c r="A101" s="516" t="s">
        <v>573</v>
      </c>
      <c r="B101" s="656" t="s">
        <v>562</v>
      </c>
      <c r="C101" s="517">
        <f>SUM(C102:C104)</f>
        <v>8633001536</v>
      </c>
      <c r="D101" s="517">
        <f aca="true" t="shared" si="24" ref="D101:N101">SUM(D102:D104)</f>
        <v>2449460254</v>
      </c>
      <c r="E101" s="517">
        <f t="shared" si="24"/>
        <v>6183541282</v>
      </c>
      <c r="F101" s="517">
        <f t="shared" si="24"/>
        <v>2506391282</v>
      </c>
      <c r="G101" s="517">
        <f t="shared" si="24"/>
        <v>0</v>
      </c>
      <c r="H101" s="517">
        <f t="shared" si="24"/>
        <v>2506391282</v>
      </c>
      <c r="I101" s="517">
        <f t="shared" si="24"/>
        <v>0</v>
      </c>
      <c r="J101" s="517">
        <f t="shared" si="24"/>
        <v>0</v>
      </c>
      <c r="K101" s="609"/>
      <c r="L101" s="517">
        <f t="shared" si="24"/>
        <v>712600000</v>
      </c>
      <c r="M101" s="517">
        <f t="shared" si="24"/>
        <v>4800000000</v>
      </c>
      <c r="N101" s="517">
        <f t="shared" si="24"/>
        <v>680000000</v>
      </c>
      <c r="O101" s="657"/>
      <c r="P101" s="461"/>
      <c r="Q101" s="461"/>
      <c r="R101" s="461"/>
      <c r="S101" s="461"/>
      <c r="T101" s="461"/>
    </row>
    <row r="102" spans="1:20" s="484" customFormat="1" ht="14.25">
      <c r="A102" s="524"/>
      <c r="B102" s="542" t="s">
        <v>557</v>
      </c>
      <c r="C102" s="522">
        <f>D102+E102</f>
        <v>8292756946</v>
      </c>
      <c r="D102" s="654">
        <v>2377735729</v>
      </c>
      <c r="E102" s="654">
        <v>5915021217</v>
      </c>
      <c r="F102" s="523">
        <f>G102+H102</f>
        <v>2506391282</v>
      </c>
      <c r="G102" s="654"/>
      <c r="H102" s="654">
        <v>2506391282</v>
      </c>
      <c r="I102" s="523"/>
      <c r="J102" s="523"/>
      <c r="K102" s="610"/>
      <c r="L102" s="532">
        <v>384750000</v>
      </c>
      <c r="M102" s="533">
        <v>4000000000</v>
      </c>
      <c r="N102" s="654">
        <f>M102*O102</f>
        <v>400000000</v>
      </c>
      <c r="O102" s="626">
        <v>0.1</v>
      </c>
      <c r="P102" s="495"/>
      <c r="Q102" s="495"/>
      <c r="R102" s="495"/>
      <c r="S102" s="495"/>
      <c r="T102" s="495"/>
    </row>
    <row r="103" spans="1:20" s="484" customFormat="1" ht="14.25">
      <c r="A103" s="524"/>
      <c r="B103" s="542" t="s">
        <v>558</v>
      </c>
      <c r="C103" s="522">
        <f>D103+E103</f>
        <v>340244590</v>
      </c>
      <c r="D103" s="654">
        <v>71724525</v>
      </c>
      <c r="E103" s="654">
        <v>268520065</v>
      </c>
      <c r="F103" s="523">
        <f>G103+H103</f>
        <v>0</v>
      </c>
      <c r="G103" s="654"/>
      <c r="H103" s="654"/>
      <c r="I103" s="523"/>
      <c r="J103" s="523"/>
      <c r="K103" s="610"/>
      <c r="L103" s="532">
        <v>81670000</v>
      </c>
      <c r="M103" s="533">
        <v>300000000</v>
      </c>
      <c r="N103" s="654">
        <f>M103*O103</f>
        <v>105000000</v>
      </c>
      <c r="O103" s="626">
        <v>0.35</v>
      </c>
      <c r="P103" s="495"/>
      <c r="Q103" s="495"/>
      <c r="R103" s="495"/>
      <c r="S103" s="495"/>
      <c r="T103" s="495"/>
    </row>
    <row r="104" spans="1:20" s="484" customFormat="1" ht="14.25">
      <c r="A104" s="524"/>
      <c r="B104" s="542" t="s">
        <v>559</v>
      </c>
      <c r="C104" s="522">
        <f>D104+E104</f>
        <v>0</v>
      </c>
      <c r="D104" s="654"/>
      <c r="E104" s="654"/>
      <c r="F104" s="523">
        <f>G104+H104</f>
        <v>0</v>
      </c>
      <c r="G104" s="654"/>
      <c r="H104" s="654"/>
      <c r="I104" s="523"/>
      <c r="J104" s="523"/>
      <c r="K104" s="610"/>
      <c r="L104" s="532">
        <v>246180000</v>
      </c>
      <c r="M104" s="533">
        <v>500000000</v>
      </c>
      <c r="N104" s="654">
        <f>M104*O104</f>
        <v>175000000</v>
      </c>
      <c r="O104" s="626">
        <v>0.35</v>
      </c>
      <c r="P104" s="495"/>
      <c r="Q104" s="495"/>
      <c r="R104" s="495"/>
      <c r="S104" s="495"/>
      <c r="T104" s="495"/>
    </row>
    <row r="105" spans="1:20" s="466" customFormat="1" ht="15">
      <c r="A105" s="516" t="s">
        <v>573</v>
      </c>
      <c r="B105" s="656" t="s">
        <v>563</v>
      </c>
      <c r="C105" s="517">
        <f>SUM(C106:C108)</f>
        <v>7455538963</v>
      </c>
      <c r="D105" s="517">
        <f aca="true" t="shared" si="25" ref="D105:N105">SUM(D106:D108)</f>
        <v>2796267351</v>
      </c>
      <c r="E105" s="517">
        <f t="shared" si="25"/>
        <v>4659271612</v>
      </c>
      <c r="F105" s="517">
        <f t="shared" si="25"/>
        <v>4659271612</v>
      </c>
      <c r="G105" s="517">
        <f t="shared" si="25"/>
        <v>0</v>
      </c>
      <c r="H105" s="517">
        <f t="shared" si="25"/>
        <v>4659271612</v>
      </c>
      <c r="I105" s="517">
        <f t="shared" si="25"/>
        <v>0</v>
      </c>
      <c r="J105" s="517">
        <f t="shared" si="25"/>
        <v>0</v>
      </c>
      <c r="K105" s="609"/>
      <c r="L105" s="517">
        <f t="shared" si="25"/>
        <v>965480000</v>
      </c>
      <c r="M105" s="517">
        <f t="shared" si="25"/>
        <v>2330000000</v>
      </c>
      <c r="N105" s="517">
        <f t="shared" si="25"/>
        <v>815500000</v>
      </c>
      <c r="O105" s="657"/>
      <c r="P105" s="461"/>
      <c r="Q105" s="461"/>
      <c r="R105" s="461"/>
      <c r="S105" s="461"/>
      <c r="T105" s="461"/>
    </row>
    <row r="106" spans="1:20" s="484" customFormat="1" ht="14.25">
      <c r="A106" s="524"/>
      <c r="B106" s="542" t="s">
        <v>557</v>
      </c>
      <c r="C106" s="522">
        <f>D106+E106</f>
        <v>7420740034</v>
      </c>
      <c r="D106" s="654">
        <v>2785634551</v>
      </c>
      <c r="E106" s="654">
        <v>4635105483</v>
      </c>
      <c r="F106" s="523">
        <f>G106+H106</f>
        <v>4659271612</v>
      </c>
      <c r="G106" s="654"/>
      <c r="H106" s="654">
        <v>4659271612</v>
      </c>
      <c r="I106" s="523"/>
      <c r="J106" s="523"/>
      <c r="K106" s="610"/>
      <c r="L106" s="532">
        <v>624550000</v>
      </c>
      <c r="M106" s="533">
        <v>2000000000</v>
      </c>
      <c r="N106" s="654">
        <f>M106*O106</f>
        <v>700000000</v>
      </c>
      <c r="O106" s="626">
        <v>0.35</v>
      </c>
      <c r="P106" s="495"/>
      <c r="Q106" s="495"/>
      <c r="R106" s="495"/>
      <c r="S106" s="495"/>
      <c r="T106" s="495"/>
    </row>
    <row r="107" spans="1:20" s="484" customFormat="1" ht="14.25">
      <c r="A107" s="524"/>
      <c r="B107" s="542" t="s">
        <v>558</v>
      </c>
      <c r="C107" s="522">
        <f>D107+E107</f>
        <v>34798929</v>
      </c>
      <c r="D107" s="654">
        <v>10632800</v>
      </c>
      <c r="E107" s="654">
        <v>24166129</v>
      </c>
      <c r="F107" s="523">
        <f>G107+H107</f>
        <v>0</v>
      </c>
      <c r="G107" s="654"/>
      <c r="H107" s="654"/>
      <c r="I107" s="523"/>
      <c r="J107" s="523"/>
      <c r="K107" s="610"/>
      <c r="L107" s="532">
        <v>98460000</v>
      </c>
      <c r="M107" s="533">
        <v>300000000</v>
      </c>
      <c r="N107" s="654">
        <f>M107*O107</f>
        <v>105000000</v>
      </c>
      <c r="O107" s="626">
        <v>0.35</v>
      </c>
      <c r="P107" s="495"/>
      <c r="Q107" s="495"/>
      <c r="R107" s="495"/>
      <c r="S107" s="495"/>
      <c r="T107" s="495"/>
    </row>
    <row r="108" spans="1:20" s="484" customFormat="1" ht="14.25">
      <c r="A108" s="524"/>
      <c r="B108" s="542" t="s">
        <v>559</v>
      </c>
      <c r="C108" s="522">
        <f>D108+E108</f>
        <v>0</v>
      </c>
      <c r="D108" s="654"/>
      <c r="E108" s="654"/>
      <c r="F108" s="523">
        <f>G108+H108</f>
        <v>0</v>
      </c>
      <c r="G108" s="654"/>
      <c r="H108" s="654"/>
      <c r="I108" s="523"/>
      <c r="J108" s="523"/>
      <c r="K108" s="610"/>
      <c r="L108" s="532">
        <v>242470000</v>
      </c>
      <c r="M108" s="533">
        <v>30000000</v>
      </c>
      <c r="N108" s="654">
        <f>M108*O108</f>
        <v>10500000</v>
      </c>
      <c r="O108" s="626">
        <v>0.35</v>
      </c>
      <c r="P108" s="495"/>
      <c r="Q108" s="495"/>
      <c r="R108" s="495"/>
      <c r="S108" s="495"/>
      <c r="T108" s="495"/>
    </row>
    <row r="109" spans="1:20" s="466" customFormat="1" ht="15">
      <c r="A109" s="516" t="s">
        <v>573</v>
      </c>
      <c r="B109" s="656" t="s">
        <v>564</v>
      </c>
      <c r="C109" s="517">
        <f>SUM(C110:C112)</f>
        <v>12489384168</v>
      </c>
      <c r="D109" s="517">
        <f aca="true" t="shared" si="26" ref="D109:N109">SUM(D110:D112)</f>
        <v>2685967674</v>
      </c>
      <c r="E109" s="517">
        <f t="shared" si="26"/>
        <v>9803416494</v>
      </c>
      <c r="F109" s="517">
        <f t="shared" si="26"/>
        <v>9585384168</v>
      </c>
      <c r="G109" s="517">
        <f t="shared" si="26"/>
        <v>0</v>
      </c>
      <c r="H109" s="517">
        <f t="shared" si="26"/>
        <v>9585384168</v>
      </c>
      <c r="I109" s="517">
        <f t="shared" si="26"/>
        <v>0</v>
      </c>
      <c r="J109" s="517">
        <f t="shared" si="26"/>
        <v>0</v>
      </c>
      <c r="K109" s="609"/>
      <c r="L109" s="517">
        <f t="shared" si="26"/>
        <v>1014160000</v>
      </c>
      <c r="M109" s="517">
        <f t="shared" si="26"/>
        <v>17500000000</v>
      </c>
      <c r="N109" s="517">
        <f t="shared" si="26"/>
        <v>2125000000</v>
      </c>
      <c r="O109" s="657"/>
      <c r="P109" s="461"/>
      <c r="Q109" s="461"/>
      <c r="R109" s="461"/>
      <c r="S109" s="461"/>
      <c r="T109" s="461"/>
    </row>
    <row r="110" spans="1:20" s="484" customFormat="1" ht="14.25">
      <c r="A110" s="524"/>
      <c r="B110" s="542" t="s">
        <v>557</v>
      </c>
      <c r="C110" s="522">
        <f>D110+E110</f>
        <v>10507445454</v>
      </c>
      <c r="D110" s="654">
        <v>2549461818</v>
      </c>
      <c r="E110" s="654">
        <v>7957983636</v>
      </c>
      <c r="F110" s="523">
        <f>G110+H110</f>
        <v>9585384168</v>
      </c>
      <c r="G110" s="654"/>
      <c r="H110" s="654">
        <v>9585384168</v>
      </c>
      <c r="I110" s="523"/>
      <c r="J110" s="523"/>
      <c r="K110" s="610"/>
      <c r="L110" s="532">
        <v>502160000</v>
      </c>
      <c r="M110" s="533">
        <v>16000000000</v>
      </c>
      <c r="N110" s="654">
        <f>M110*O110</f>
        <v>1600000000</v>
      </c>
      <c r="O110" s="626">
        <v>0.1</v>
      </c>
      <c r="P110" s="495"/>
      <c r="Q110" s="495"/>
      <c r="R110" s="495"/>
      <c r="S110" s="495"/>
      <c r="T110" s="495"/>
    </row>
    <row r="111" spans="1:20" s="484" customFormat="1" ht="14.25">
      <c r="A111" s="524"/>
      <c r="B111" s="542" t="s">
        <v>558</v>
      </c>
      <c r="C111" s="522">
        <f>D111+E111</f>
        <v>1981938714</v>
      </c>
      <c r="D111" s="654">
        <v>136505856</v>
      </c>
      <c r="E111" s="654">
        <v>1845432858</v>
      </c>
      <c r="F111" s="523">
        <f>G111+H111</f>
        <v>0</v>
      </c>
      <c r="G111" s="654"/>
      <c r="H111" s="654"/>
      <c r="I111" s="523"/>
      <c r="J111" s="523"/>
      <c r="K111" s="610"/>
      <c r="L111" s="532">
        <v>142770000</v>
      </c>
      <c r="M111" s="533">
        <v>1000000000</v>
      </c>
      <c r="N111" s="654">
        <f>M111*O111</f>
        <v>350000000</v>
      </c>
      <c r="O111" s="626">
        <v>0.35</v>
      </c>
      <c r="P111" s="495"/>
      <c r="Q111" s="495"/>
      <c r="R111" s="495"/>
      <c r="S111" s="495"/>
      <c r="T111" s="495"/>
    </row>
    <row r="112" spans="1:20" s="484" customFormat="1" ht="14.25">
      <c r="A112" s="524"/>
      <c r="B112" s="542" t="s">
        <v>559</v>
      </c>
      <c r="C112" s="522">
        <f>D112+E112</f>
        <v>0</v>
      </c>
      <c r="D112" s="654"/>
      <c r="E112" s="654"/>
      <c r="F112" s="523">
        <f>G112+H112</f>
        <v>0</v>
      </c>
      <c r="G112" s="654"/>
      <c r="H112" s="654"/>
      <c r="I112" s="523"/>
      <c r="J112" s="523"/>
      <c r="K112" s="610"/>
      <c r="L112" s="532">
        <v>369230000</v>
      </c>
      <c r="M112" s="533">
        <v>500000000</v>
      </c>
      <c r="N112" s="654">
        <f>M112*O112</f>
        <v>175000000</v>
      </c>
      <c r="O112" s="626">
        <v>0.35</v>
      </c>
      <c r="P112" s="495"/>
      <c r="Q112" s="495"/>
      <c r="R112" s="495"/>
      <c r="S112" s="495"/>
      <c r="T112" s="495"/>
    </row>
    <row r="113" spans="1:20" s="466" customFormat="1" ht="15">
      <c r="A113" s="516" t="s">
        <v>573</v>
      </c>
      <c r="B113" s="656" t="s">
        <v>565</v>
      </c>
      <c r="C113" s="517">
        <f>SUM(C114:C116)</f>
        <v>6113103155</v>
      </c>
      <c r="D113" s="517">
        <f aca="true" t="shared" si="27" ref="D113:N113">SUM(D114:D116)</f>
        <v>2844813927</v>
      </c>
      <c r="E113" s="517">
        <f t="shared" si="27"/>
        <v>3268289228</v>
      </c>
      <c r="F113" s="517">
        <f t="shared" si="27"/>
        <v>3506816228</v>
      </c>
      <c r="G113" s="517">
        <f t="shared" si="27"/>
        <v>0</v>
      </c>
      <c r="H113" s="517">
        <f t="shared" si="27"/>
        <v>3506816228</v>
      </c>
      <c r="I113" s="517">
        <f t="shared" si="27"/>
        <v>0</v>
      </c>
      <c r="J113" s="517">
        <f t="shared" si="27"/>
        <v>0</v>
      </c>
      <c r="K113" s="609"/>
      <c r="L113" s="517">
        <f t="shared" si="27"/>
        <v>658240000</v>
      </c>
      <c r="M113" s="517">
        <f t="shared" si="27"/>
        <v>5100000000</v>
      </c>
      <c r="N113" s="517">
        <f t="shared" si="27"/>
        <v>785000000</v>
      </c>
      <c r="O113" s="657"/>
      <c r="P113" s="461"/>
      <c r="Q113" s="461"/>
      <c r="R113" s="461"/>
      <c r="S113" s="461"/>
      <c r="T113" s="461"/>
    </row>
    <row r="114" spans="1:20" s="484" customFormat="1" ht="14.25">
      <c r="A114" s="524"/>
      <c r="B114" s="542" t="s">
        <v>557</v>
      </c>
      <c r="C114" s="522">
        <f>D114+E114</f>
        <v>6011919694</v>
      </c>
      <c r="D114" s="654">
        <v>2840892933</v>
      </c>
      <c r="E114" s="654">
        <v>3171026761</v>
      </c>
      <c r="F114" s="523">
        <f>G114+H114</f>
        <v>3506816228</v>
      </c>
      <c r="G114" s="654"/>
      <c r="H114" s="654">
        <v>3506816228</v>
      </c>
      <c r="I114" s="523"/>
      <c r="J114" s="523"/>
      <c r="K114" s="610"/>
      <c r="L114" s="532">
        <v>327950000</v>
      </c>
      <c r="M114" s="533">
        <v>4000000000</v>
      </c>
      <c r="N114" s="654">
        <f>M114*O114</f>
        <v>400000000</v>
      </c>
      <c r="O114" s="626">
        <v>0.1</v>
      </c>
      <c r="P114" s="495"/>
      <c r="Q114" s="495"/>
      <c r="R114" s="495"/>
      <c r="S114" s="495"/>
      <c r="T114" s="495"/>
    </row>
    <row r="115" spans="1:20" s="484" customFormat="1" ht="14.25">
      <c r="A115" s="524"/>
      <c r="B115" s="542" t="s">
        <v>558</v>
      </c>
      <c r="C115" s="522">
        <f>D115+E115</f>
        <v>101183461</v>
      </c>
      <c r="D115" s="654">
        <v>3920994</v>
      </c>
      <c r="E115" s="654">
        <v>97262467</v>
      </c>
      <c r="F115" s="523">
        <f>G115+H115</f>
        <v>0</v>
      </c>
      <c r="G115" s="654"/>
      <c r="H115" s="654"/>
      <c r="I115" s="523"/>
      <c r="J115" s="523"/>
      <c r="K115" s="610"/>
      <c r="L115" s="532">
        <v>94090000</v>
      </c>
      <c r="M115" s="533">
        <v>800000000</v>
      </c>
      <c r="N115" s="654">
        <f>M115*O115</f>
        <v>280000000</v>
      </c>
      <c r="O115" s="626">
        <v>0.35</v>
      </c>
      <c r="P115" s="495"/>
      <c r="Q115" s="495"/>
      <c r="R115" s="495"/>
      <c r="S115" s="495"/>
      <c r="T115" s="495"/>
    </row>
    <row r="116" spans="1:20" s="484" customFormat="1" ht="14.25">
      <c r="A116" s="524"/>
      <c r="B116" s="542" t="s">
        <v>559</v>
      </c>
      <c r="C116" s="522">
        <f>D116+E116</f>
        <v>0</v>
      </c>
      <c r="D116" s="654"/>
      <c r="E116" s="654"/>
      <c r="F116" s="523">
        <f>G116+H116</f>
        <v>0</v>
      </c>
      <c r="G116" s="654"/>
      <c r="H116" s="654"/>
      <c r="I116" s="523"/>
      <c r="J116" s="523"/>
      <c r="K116" s="610"/>
      <c r="L116" s="532">
        <v>236200000</v>
      </c>
      <c r="M116" s="533">
        <v>300000000</v>
      </c>
      <c r="N116" s="654">
        <f>M116*O116</f>
        <v>105000000</v>
      </c>
      <c r="O116" s="626">
        <v>0.35</v>
      </c>
      <c r="P116" s="495"/>
      <c r="Q116" s="495"/>
      <c r="R116" s="495"/>
      <c r="S116" s="495"/>
      <c r="T116" s="495"/>
    </row>
    <row r="117" spans="1:20" s="466" customFormat="1" ht="15">
      <c r="A117" s="516" t="s">
        <v>573</v>
      </c>
      <c r="B117" s="656" t="s">
        <v>566</v>
      </c>
      <c r="C117" s="517">
        <f>SUM(C118:C119)</f>
        <v>1475533202</v>
      </c>
      <c r="D117" s="517">
        <f aca="true" t="shared" si="28" ref="D117:N117">SUM(D118:D119)</f>
        <v>219193190</v>
      </c>
      <c r="E117" s="517">
        <f t="shared" si="28"/>
        <v>1256340012</v>
      </c>
      <c r="F117" s="517">
        <f t="shared" si="28"/>
        <v>1475533202</v>
      </c>
      <c r="G117" s="517">
        <f t="shared" si="28"/>
        <v>0</v>
      </c>
      <c r="H117" s="517">
        <f t="shared" si="28"/>
        <v>1475533202</v>
      </c>
      <c r="I117" s="517">
        <f t="shared" si="28"/>
        <v>0</v>
      </c>
      <c r="J117" s="517">
        <f t="shared" si="28"/>
        <v>0</v>
      </c>
      <c r="K117" s="609"/>
      <c r="L117" s="517">
        <f t="shared" si="28"/>
        <v>371420000</v>
      </c>
      <c r="M117" s="517">
        <f t="shared" si="28"/>
        <v>2500000000</v>
      </c>
      <c r="N117" s="517">
        <f t="shared" si="28"/>
        <v>375000000</v>
      </c>
      <c r="O117" s="657"/>
      <c r="P117" s="461"/>
      <c r="Q117" s="461"/>
      <c r="R117" s="461"/>
      <c r="S117" s="461"/>
      <c r="T117" s="461"/>
    </row>
    <row r="118" spans="1:20" s="466" customFormat="1" ht="15">
      <c r="A118" s="516"/>
      <c r="B118" s="542" t="s">
        <v>566</v>
      </c>
      <c r="C118" s="522">
        <f>D118+E118</f>
        <v>1475533202</v>
      </c>
      <c r="D118" s="654">
        <v>219193190</v>
      </c>
      <c r="E118" s="654">
        <v>1256340012</v>
      </c>
      <c r="F118" s="523">
        <f>G118+H118</f>
        <v>1475533202</v>
      </c>
      <c r="G118" s="654"/>
      <c r="H118" s="654">
        <v>1475533202</v>
      </c>
      <c r="I118" s="499"/>
      <c r="J118" s="499"/>
      <c r="K118" s="612"/>
      <c r="L118" s="532">
        <v>106090000</v>
      </c>
      <c r="M118" s="533">
        <v>2000000000</v>
      </c>
      <c r="N118" s="654">
        <f>M118*O118</f>
        <v>200000000</v>
      </c>
      <c r="O118" s="626">
        <v>0.1</v>
      </c>
      <c r="P118" s="461"/>
      <c r="Q118" s="461"/>
      <c r="R118" s="461"/>
      <c r="S118" s="461"/>
      <c r="T118" s="461"/>
    </row>
    <row r="119" spans="1:20" s="466" customFormat="1" ht="15">
      <c r="A119" s="516"/>
      <c r="B119" s="542" t="s">
        <v>561</v>
      </c>
      <c r="C119" s="522">
        <f>D119+E119</f>
        <v>0</v>
      </c>
      <c r="D119" s="654"/>
      <c r="E119" s="654"/>
      <c r="F119" s="523">
        <f>G119+H119</f>
        <v>0</v>
      </c>
      <c r="G119" s="654"/>
      <c r="H119" s="654"/>
      <c r="I119" s="499"/>
      <c r="J119" s="499"/>
      <c r="K119" s="612"/>
      <c r="L119" s="532">
        <v>265330000</v>
      </c>
      <c r="M119" s="533">
        <v>500000000</v>
      </c>
      <c r="N119" s="654">
        <f>M119*O119</f>
        <v>175000000</v>
      </c>
      <c r="O119" s="626">
        <v>0.35</v>
      </c>
      <c r="P119" s="461"/>
      <c r="Q119" s="461"/>
      <c r="R119" s="461"/>
      <c r="S119" s="461"/>
      <c r="T119" s="461"/>
    </row>
    <row r="120" spans="1:20" s="466" customFormat="1" ht="15">
      <c r="A120" s="516" t="s">
        <v>573</v>
      </c>
      <c r="B120" s="656" t="s">
        <v>567</v>
      </c>
      <c r="C120" s="517">
        <f>SUM(C121:C123)</f>
        <v>11609976154</v>
      </c>
      <c r="D120" s="517">
        <f aca="true" t="shared" si="29" ref="D120:N120">SUM(D121:D123)</f>
        <v>5033065734</v>
      </c>
      <c r="E120" s="517">
        <f t="shared" si="29"/>
        <v>6576910420</v>
      </c>
      <c r="F120" s="517">
        <f t="shared" si="29"/>
        <v>11590576154</v>
      </c>
      <c r="G120" s="517">
        <f t="shared" si="29"/>
        <v>0</v>
      </c>
      <c r="H120" s="517">
        <f t="shared" si="29"/>
        <v>11590576154</v>
      </c>
      <c r="I120" s="517">
        <f t="shared" si="29"/>
        <v>0</v>
      </c>
      <c r="J120" s="517">
        <f t="shared" si="29"/>
        <v>0</v>
      </c>
      <c r="K120" s="609"/>
      <c r="L120" s="517">
        <f t="shared" si="29"/>
        <v>1057180000</v>
      </c>
      <c r="M120" s="517">
        <f t="shared" si="29"/>
        <v>8000000000</v>
      </c>
      <c r="N120" s="517">
        <f t="shared" si="29"/>
        <v>1300000000</v>
      </c>
      <c r="O120" s="657"/>
      <c r="P120" s="461"/>
      <c r="Q120" s="461"/>
      <c r="R120" s="461"/>
      <c r="S120" s="461"/>
      <c r="T120" s="461"/>
    </row>
    <row r="121" spans="1:20" s="484" customFormat="1" ht="14.25">
      <c r="A121" s="524"/>
      <c r="B121" s="542" t="s">
        <v>557</v>
      </c>
      <c r="C121" s="522">
        <f>D121+E121</f>
        <v>11590576154</v>
      </c>
      <c r="D121" s="654">
        <v>5013665734</v>
      </c>
      <c r="E121" s="654">
        <v>6576910420</v>
      </c>
      <c r="F121" s="523">
        <f>G121+H121</f>
        <v>11590576154</v>
      </c>
      <c r="G121" s="654"/>
      <c r="H121" s="654">
        <v>11590576154</v>
      </c>
      <c r="I121" s="523"/>
      <c r="J121" s="523"/>
      <c r="K121" s="610"/>
      <c r="L121" s="532">
        <v>581690000</v>
      </c>
      <c r="M121" s="533">
        <v>6000000000</v>
      </c>
      <c r="N121" s="654">
        <f>M121*O121</f>
        <v>600000000</v>
      </c>
      <c r="O121" s="626">
        <v>0.1</v>
      </c>
      <c r="P121" s="495"/>
      <c r="Q121" s="495"/>
      <c r="R121" s="495"/>
      <c r="S121" s="495"/>
      <c r="T121" s="495"/>
    </row>
    <row r="122" spans="1:20" s="484" customFormat="1" ht="14.25">
      <c r="A122" s="524"/>
      <c r="B122" s="542" t="s">
        <v>558</v>
      </c>
      <c r="C122" s="522">
        <f>D122+E122</f>
        <v>19400000</v>
      </c>
      <c r="D122" s="654">
        <v>19400000</v>
      </c>
      <c r="E122" s="654"/>
      <c r="F122" s="523">
        <f>G122+H122</f>
        <v>0</v>
      </c>
      <c r="G122" s="654"/>
      <c r="H122" s="654"/>
      <c r="I122" s="523"/>
      <c r="J122" s="523"/>
      <c r="K122" s="610"/>
      <c r="L122" s="532">
        <v>122380000</v>
      </c>
      <c r="M122" s="533">
        <v>1000000000</v>
      </c>
      <c r="N122" s="654">
        <f>M122*O122</f>
        <v>350000000</v>
      </c>
      <c r="O122" s="626">
        <v>0.35</v>
      </c>
      <c r="P122" s="495"/>
      <c r="Q122" s="495"/>
      <c r="R122" s="495"/>
      <c r="S122" s="495"/>
      <c r="T122" s="495"/>
    </row>
    <row r="123" spans="1:20" s="484" customFormat="1" ht="14.25">
      <c r="A123" s="524"/>
      <c r="B123" s="542" t="s">
        <v>559</v>
      </c>
      <c r="C123" s="522">
        <f>D123+E123</f>
        <v>0</v>
      </c>
      <c r="D123" s="654"/>
      <c r="E123" s="654"/>
      <c r="F123" s="523">
        <f>G123+H123</f>
        <v>0</v>
      </c>
      <c r="G123" s="654"/>
      <c r="H123" s="654"/>
      <c r="I123" s="523"/>
      <c r="J123" s="523"/>
      <c r="K123" s="610"/>
      <c r="L123" s="532">
        <v>353110000</v>
      </c>
      <c r="M123" s="533">
        <v>1000000000</v>
      </c>
      <c r="N123" s="654">
        <f>M123*O123</f>
        <v>350000000</v>
      </c>
      <c r="O123" s="626">
        <v>0.35</v>
      </c>
      <c r="P123" s="495"/>
      <c r="Q123" s="495"/>
      <c r="R123" s="495"/>
      <c r="S123" s="495"/>
      <c r="T123" s="495"/>
    </row>
    <row r="124" spans="1:20" s="466" customFormat="1" ht="15">
      <c r="A124" s="516" t="s">
        <v>573</v>
      </c>
      <c r="B124" s="656" t="s">
        <v>568</v>
      </c>
      <c r="C124" s="517">
        <f>SUM(C125:C127)</f>
        <v>5573266716</v>
      </c>
      <c r="D124" s="517">
        <f aca="true" t="shared" si="30" ref="D124:N124">SUM(D125:D127)</f>
        <v>1718585885</v>
      </c>
      <c r="E124" s="517">
        <f t="shared" si="30"/>
        <v>3854680831</v>
      </c>
      <c r="F124" s="517">
        <f t="shared" si="30"/>
        <v>3854680831</v>
      </c>
      <c r="G124" s="517">
        <f t="shared" si="30"/>
        <v>0</v>
      </c>
      <c r="H124" s="517">
        <f t="shared" si="30"/>
        <v>3854680831</v>
      </c>
      <c r="I124" s="517">
        <f t="shared" si="30"/>
        <v>0</v>
      </c>
      <c r="J124" s="517">
        <f t="shared" si="30"/>
        <v>0</v>
      </c>
      <c r="K124" s="609"/>
      <c r="L124" s="517">
        <f t="shared" si="30"/>
        <v>1030160000</v>
      </c>
      <c r="M124" s="517">
        <f t="shared" si="30"/>
        <v>9000000000</v>
      </c>
      <c r="N124" s="517">
        <f t="shared" si="30"/>
        <v>1650000000</v>
      </c>
      <c r="O124" s="657"/>
      <c r="P124" s="461"/>
      <c r="Q124" s="461"/>
      <c r="R124" s="461"/>
      <c r="S124" s="461"/>
      <c r="T124" s="461"/>
    </row>
    <row r="125" spans="1:20" s="484" customFormat="1" ht="14.25">
      <c r="A125" s="524"/>
      <c r="B125" s="542" t="s">
        <v>557</v>
      </c>
      <c r="C125" s="522">
        <f>D125+E125</f>
        <v>4812980041</v>
      </c>
      <c r="D125" s="654">
        <v>1592299210</v>
      </c>
      <c r="E125" s="654">
        <v>3220680831</v>
      </c>
      <c r="F125" s="523">
        <f>G125+H125</f>
        <v>3854680831</v>
      </c>
      <c r="G125" s="654"/>
      <c r="H125" s="654">
        <v>3854680831</v>
      </c>
      <c r="I125" s="523"/>
      <c r="J125" s="523"/>
      <c r="K125" s="610"/>
      <c r="L125" s="532">
        <v>519800000</v>
      </c>
      <c r="M125" s="533">
        <v>6000000000</v>
      </c>
      <c r="N125" s="654">
        <f>M125*O125</f>
        <v>600000000</v>
      </c>
      <c r="O125" s="626">
        <v>0.1</v>
      </c>
      <c r="P125" s="495"/>
      <c r="Q125" s="495"/>
      <c r="R125" s="495"/>
      <c r="S125" s="495"/>
      <c r="T125" s="495"/>
    </row>
    <row r="126" spans="1:20" s="484" customFormat="1" ht="14.25">
      <c r="A126" s="524"/>
      <c r="B126" s="542" t="s">
        <v>558</v>
      </c>
      <c r="C126" s="522">
        <f>D126+E126</f>
        <v>760286675</v>
      </c>
      <c r="D126" s="654">
        <v>126286675</v>
      </c>
      <c r="E126" s="654">
        <v>634000000</v>
      </c>
      <c r="F126" s="523">
        <f>G126+H126</f>
        <v>0</v>
      </c>
      <c r="G126" s="654"/>
      <c r="H126" s="654"/>
      <c r="I126" s="523"/>
      <c r="J126" s="523"/>
      <c r="K126" s="610"/>
      <c r="L126" s="532">
        <v>114760000</v>
      </c>
      <c r="M126" s="533">
        <v>2000000000</v>
      </c>
      <c r="N126" s="654">
        <f aca="true" t="shared" si="31" ref="N126:N131">M126*O126</f>
        <v>700000000</v>
      </c>
      <c r="O126" s="626">
        <v>0.35</v>
      </c>
      <c r="P126" s="495"/>
      <c r="Q126" s="495"/>
      <c r="R126" s="495"/>
      <c r="S126" s="495"/>
      <c r="T126" s="495"/>
    </row>
    <row r="127" spans="1:20" s="484" customFormat="1" ht="14.25">
      <c r="A127" s="524"/>
      <c r="B127" s="542" t="s">
        <v>559</v>
      </c>
      <c r="C127" s="522">
        <f>D127+E127</f>
        <v>0</v>
      </c>
      <c r="D127" s="654"/>
      <c r="E127" s="654"/>
      <c r="F127" s="523">
        <f>G127+H127</f>
        <v>0</v>
      </c>
      <c r="G127" s="654"/>
      <c r="H127" s="654"/>
      <c r="I127" s="523"/>
      <c r="J127" s="523"/>
      <c r="K127" s="610"/>
      <c r="L127" s="532">
        <v>395600000</v>
      </c>
      <c r="M127" s="533">
        <v>1000000000</v>
      </c>
      <c r="N127" s="654">
        <f t="shared" si="31"/>
        <v>350000000</v>
      </c>
      <c r="O127" s="626">
        <v>0.35</v>
      </c>
      <c r="P127" s="495"/>
      <c r="Q127" s="495"/>
      <c r="R127" s="495"/>
      <c r="S127" s="495"/>
      <c r="T127" s="495"/>
    </row>
    <row r="128" spans="1:20" s="466" customFormat="1" ht="15">
      <c r="A128" s="516" t="s">
        <v>573</v>
      </c>
      <c r="B128" s="656" t="s">
        <v>569</v>
      </c>
      <c r="C128" s="517">
        <f>SUM(C129:C131)</f>
        <v>9903714835</v>
      </c>
      <c r="D128" s="517">
        <f aca="true" t="shared" si="32" ref="D128:N128">SUM(D129:D131)</f>
        <v>3833922897</v>
      </c>
      <c r="E128" s="517">
        <f t="shared" si="32"/>
        <v>6069791938</v>
      </c>
      <c r="F128" s="517">
        <f t="shared" si="32"/>
        <v>9862724337</v>
      </c>
      <c r="G128" s="517">
        <f t="shared" si="32"/>
        <v>1907392399</v>
      </c>
      <c r="H128" s="517">
        <f t="shared" si="32"/>
        <v>7955331938</v>
      </c>
      <c r="I128" s="517">
        <f t="shared" si="32"/>
        <v>0</v>
      </c>
      <c r="J128" s="517">
        <f t="shared" si="32"/>
        <v>0</v>
      </c>
      <c r="K128" s="517">
        <f t="shared" si="32"/>
        <v>0</v>
      </c>
      <c r="L128" s="517">
        <f t="shared" si="32"/>
        <v>774960000</v>
      </c>
      <c r="M128" s="517">
        <f t="shared" si="32"/>
        <v>8800000000</v>
      </c>
      <c r="N128" s="517">
        <f t="shared" si="32"/>
        <v>1205000000</v>
      </c>
      <c r="O128" s="657"/>
      <c r="P128" s="461"/>
      <c r="Q128" s="461"/>
      <c r="R128" s="461"/>
      <c r="S128" s="461"/>
      <c r="T128" s="461"/>
    </row>
    <row r="129" spans="1:20" s="484" customFormat="1" ht="14.25">
      <c r="A129" s="524"/>
      <c r="B129" s="542" t="s">
        <v>557</v>
      </c>
      <c r="C129" s="522">
        <f>D129+E129</f>
        <v>9864667431</v>
      </c>
      <c r="D129" s="654">
        <v>3848947493</v>
      </c>
      <c r="E129" s="654">
        <v>6015719938</v>
      </c>
      <c r="F129" s="523">
        <f>G129+H129</f>
        <v>9869301778</v>
      </c>
      <c r="G129" s="654">
        <v>1968041840</v>
      </c>
      <c r="H129" s="654">
        <v>7901259938</v>
      </c>
      <c r="I129" s="523"/>
      <c r="J129" s="523"/>
      <c r="K129" s="610"/>
      <c r="L129" s="532">
        <v>376250000</v>
      </c>
      <c r="M129" s="533">
        <v>7500000000</v>
      </c>
      <c r="N129" s="654">
        <f t="shared" si="31"/>
        <v>750000000</v>
      </c>
      <c r="O129" s="626">
        <v>0.1</v>
      </c>
      <c r="P129" s="495"/>
      <c r="Q129" s="495"/>
      <c r="R129" s="495"/>
      <c r="S129" s="495"/>
      <c r="T129" s="495"/>
    </row>
    <row r="130" spans="1:20" s="484" customFormat="1" ht="14.25">
      <c r="A130" s="524"/>
      <c r="B130" s="542" t="s">
        <v>558</v>
      </c>
      <c r="C130" s="522">
        <f>D130+E130</f>
        <v>39047404</v>
      </c>
      <c r="D130" s="654">
        <v>-15024596</v>
      </c>
      <c r="E130" s="654">
        <v>54072000</v>
      </c>
      <c r="F130" s="523">
        <f>G130+H130</f>
        <v>-6577441</v>
      </c>
      <c r="G130" s="654">
        <v>-60649441</v>
      </c>
      <c r="H130" s="654">
        <v>54072000</v>
      </c>
      <c r="I130" s="523"/>
      <c r="J130" s="523"/>
      <c r="K130" s="610"/>
      <c r="L130" s="532">
        <v>119430000</v>
      </c>
      <c r="M130" s="533">
        <v>300000000</v>
      </c>
      <c r="N130" s="654">
        <f t="shared" si="31"/>
        <v>105000000</v>
      </c>
      <c r="O130" s="626">
        <v>0.35</v>
      </c>
      <c r="P130" s="495"/>
      <c r="Q130" s="495"/>
      <c r="R130" s="495"/>
      <c r="S130" s="495"/>
      <c r="T130" s="495"/>
    </row>
    <row r="131" spans="1:20" s="484" customFormat="1" ht="14.25">
      <c r="A131" s="524"/>
      <c r="B131" s="542" t="s">
        <v>559</v>
      </c>
      <c r="C131" s="522">
        <f>D131+E131</f>
        <v>0</v>
      </c>
      <c r="D131" s="658"/>
      <c r="E131" s="658"/>
      <c r="F131" s="523">
        <f>G131+H131</f>
        <v>0</v>
      </c>
      <c r="G131" s="654"/>
      <c r="H131" s="654"/>
      <c r="I131" s="523"/>
      <c r="J131" s="523"/>
      <c r="K131" s="610"/>
      <c r="L131" s="532">
        <v>279280000</v>
      </c>
      <c r="M131" s="533">
        <v>1000000000</v>
      </c>
      <c r="N131" s="654">
        <f t="shared" si="31"/>
        <v>350000000</v>
      </c>
      <c r="O131" s="626">
        <v>0.35</v>
      </c>
      <c r="P131" s="495"/>
      <c r="Q131" s="495"/>
      <c r="R131" s="495"/>
      <c r="S131" s="495"/>
      <c r="T131" s="495"/>
    </row>
    <row r="132" spans="1:20" s="466" customFormat="1" ht="15">
      <c r="A132" s="516" t="s">
        <v>573</v>
      </c>
      <c r="B132" s="656" t="s">
        <v>570</v>
      </c>
      <c r="C132" s="517">
        <f>SUM(C133:C134)</f>
        <v>471816382</v>
      </c>
      <c r="D132" s="517">
        <f aca="true" t="shared" si="33" ref="D132:N132">SUM(D133:D134)</f>
        <v>188285873</v>
      </c>
      <c r="E132" s="517">
        <f t="shared" si="33"/>
        <v>283530509</v>
      </c>
      <c r="F132" s="517">
        <f t="shared" si="33"/>
        <v>471816382</v>
      </c>
      <c r="G132" s="517">
        <f t="shared" si="33"/>
        <v>0</v>
      </c>
      <c r="H132" s="517">
        <f t="shared" si="33"/>
        <v>471816382</v>
      </c>
      <c r="I132" s="517">
        <f t="shared" si="33"/>
        <v>0</v>
      </c>
      <c r="J132" s="517">
        <f t="shared" si="33"/>
        <v>0</v>
      </c>
      <c r="K132" s="609"/>
      <c r="L132" s="517">
        <f t="shared" si="33"/>
        <v>505860000</v>
      </c>
      <c r="M132" s="517">
        <f t="shared" si="33"/>
        <v>2000000000</v>
      </c>
      <c r="N132" s="517">
        <f t="shared" si="33"/>
        <v>325000000</v>
      </c>
      <c r="O132" s="657"/>
      <c r="P132" s="461"/>
      <c r="Q132" s="461"/>
      <c r="R132" s="461"/>
      <c r="S132" s="461"/>
      <c r="T132" s="461"/>
    </row>
    <row r="133" spans="1:20" s="466" customFormat="1" ht="15">
      <c r="A133" s="516"/>
      <c r="B133" s="542" t="s">
        <v>570</v>
      </c>
      <c r="C133" s="522">
        <f>D133+E133</f>
        <v>471816382</v>
      </c>
      <c r="D133" s="654">
        <v>188285873</v>
      </c>
      <c r="E133" s="654">
        <v>283530509</v>
      </c>
      <c r="F133" s="523">
        <f>G133+H133</f>
        <v>471816382</v>
      </c>
      <c r="G133" s="654"/>
      <c r="H133" s="654">
        <v>471816382</v>
      </c>
      <c r="I133" s="499"/>
      <c r="J133" s="499"/>
      <c r="K133" s="612"/>
      <c r="L133" s="532">
        <v>131040000</v>
      </c>
      <c r="M133" s="533">
        <v>1500000000</v>
      </c>
      <c r="N133" s="654">
        <f>M133*O133</f>
        <v>150000000</v>
      </c>
      <c r="O133" s="626">
        <v>0.1</v>
      </c>
      <c r="P133" s="461"/>
      <c r="Q133" s="461"/>
      <c r="R133" s="461"/>
      <c r="S133" s="461"/>
      <c r="T133" s="461"/>
    </row>
    <row r="134" spans="1:20" s="466" customFormat="1" ht="15">
      <c r="A134" s="516"/>
      <c r="B134" s="542" t="s">
        <v>561</v>
      </c>
      <c r="C134" s="522">
        <f>D134+E134</f>
        <v>0</v>
      </c>
      <c r="D134" s="654"/>
      <c r="E134" s="654"/>
      <c r="F134" s="523">
        <f>G134+H134</f>
        <v>0</v>
      </c>
      <c r="G134" s="654"/>
      <c r="H134" s="654"/>
      <c r="I134" s="499"/>
      <c r="J134" s="499"/>
      <c r="K134" s="612"/>
      <c r="L134" s="532">
        <v>374820000</v>
      </c>
      <c r="M134" s="533">
        <v>500000000</v>
      </c>
      <c r="N134" s="654">
        <f>M134*O134</f>
        <v>175000000</v>
      </c>
      <c r="O134" s="626">
        <v>0.35</v>
      </c>
      <c r="P134" s="461"/>
      <c r="Q134" s="461"/>
      <c r="R134" s="461"/>
      <c r="S134" s="461"/>
      <c r="T134" s="461"/>
    </row>
    <row r="135" spans="1:20" s="466" customFormat="1" ht="15">
      <c r="A135" s="516" t="s">
        <v>586</v>
      </c>
      <c r="B135" s="656" t="s">
        <v>574</v>
      </c>
      <c r="C135" s="517">
        <f>SUM(C136:C146)</f>
        <v>27694794</v>
      </c>
      <c r="D135" s="517">
        <f aca="true" t="shared" si="34" ref="D135:N135">SUM(D136:D146)</f>
        <v>0</v>
      </c>
      <c r="E135" s="517">
        <f t="shared" si="34"/>
        <v>27694794</v>
      </c>
      <c r="F135" s="517">
        <f t="shared" si="34"/>
        <v>27853694</v>
      </c>
      <c r="G135" s="517">
        <f t="shared" si="34"/>
        <v>0</v>
      </c>
      <c r="H135" s="517">
        <f t="shared" si="34"/>
        <v>27853694</v>
      </c>
      <c r="I135" s="517">
        <f t="shared" si="34"/>
        <v>0</v>
      </c>
      <c r="J135" s="517">
        <f t="shared" si="34"/>
        <v>0</v>
      </c>
      <c r="K135" s="609"/>
      <c r="L135" s="517">
        <f t="shared" si="34"/>
        <v>188500000</v>
      </c>
      <c r="M135" s="517">
        <f t="shared" si="34"/>
        <v>0</v>
      </c>
      <c r="N135" s="517">
        <f t="shared" si="34"/>
        <v>0</v>
      </c>
      <c r="O135" s="657"/>
      <c r="P135" s="461"/>
      <c r="Q135" s="461"/>
      <c r="R135" s="461"/>
      <c r="S135" s="461"/>
      <c r="T135" s="461"/>
    </row>
    <row r="136" spans="1:20" s="466" customFormat="1" ht="15">
      <c r="A136" s="516"/>
      <c r="B136" s="542" t="s">
        <v>575</v>
      </c>
      <c r="C136" s="522">
        <f>D136+E136</f>
        <v>23694794</v>
      </c>
      <c r="D136" s="654"/>
      <c r="E136" s="654">
        <v>23694794</v>
      </c>
      <c r="F136" s="523">
        <f>G136+H136</f>
        <v>23853694</v>
      </c>
      <c r="G136" s="654"/>
      <c r="H136" s="654">
        <v>23853694</v>
      </c>
      <c r="I136" s="499"/>
      <c r="J136" s="499"/>
      <c r="K136" s="612"/>
      <c r="L136" s="532">
        <v>22870000</v>
      </c>
      <c r="M136" s="533"/>
      <c r="N136" s="654"/>
      <c r="O136" s="626" t="s">
        <v>533</v>
      </c>
      <c r="P136" s="461"/>
      <c r="Q136" s="461"/>
      <c r="R136" s="461"/>
      <c r="S136" s="461"/>
      <c r="T136" s="461"/>
    </row>
    <row r="137" spans="1:20" s="466" customFormat="1" ht="15">
      <c r="A137" s="516"/>
      <c r="B137" s="542" t="s">
        <v>576</v>
      </c>
      <c r="C137" s="522">
        <f aca="true" t="shared" si="35" ref="C137:C146">D137+E137</f>
        <v>0</v>
      </c>
      <c r="D137" s="654"/>
      <c r="E137" s="654"/>
      <c r="F137" s="523">
        <f aca="true" t="shared" si="36" ref="F137:F145">G137+H137</f>
        <v>0</v>
      </c>
      <c r="G137" s="654"/>
      <c r="H137" s="654"/>
      <c r="I137" s="499"/>
      <c r="J137" s="499"/>
      <c r="K137" s="612"/>
      <c r="L137" s="532">
        <v>15440000</v>
      </c>
      <c r="M137" s="533"/>
      <c r="N137" s="654"/>
      <c r="O137" s="626" t="s">
        <v>533</v>
      </c>
      <c r="P137" s="461"/>
      <c r="Q137" s="461"/>
      <c r="R137" s="461"/>
      <c r="S137" s="461"/>
      <c r="T137" s="461"/>
    </row>
    <row r="138" spans="1:20" s="466" customFormat="1" ht="15">
      <c r="A138" s="516"/>
      <c r="B138" s="542" t="s">
        <v>577</v>
      </c>
      <c r="C138" s="522">
        <f t="shared" si="35"/>
        <v>0</v>
      </c>
      <c r="D138" s="654"/>
      <c r="E138" s="654"/>
      <c r="F138" s="523">
        <f t="shared" si="36"/>
        <v>0</v>
      </c>
      <c r="G138" s="654"/>
      <c r="H138" s="654"/>
      <c r="I138" s="499"/>
      <c r="J138" s="499"/>
      <c r="K138" s="612"/>
      <c r="L138" s="532">
        <v>10760000</v>
      </c>
      <c r="M138" s="533"/>
      <c r="N138" s="654"/>
      <c r="O138" s="626" t="s">
        <v>533</v>
      </c>
      <c r="P138" s="461"/>
      <c r="Q138" s="461"/>
      <c r="R138" s="461"/>
      <c r="S138" s="461"/>
      <c r="T138" s="461"/>
    </row>
    <row r="139" spans="1:20" s="466" customFormat="1" ht="15">
      <c r="A139" s="516"/>
      <c r="B139" s="542" t="s">
        <v>578</v>
      </c>
      <c r="C139" s="522">
        <f t="shared" si="35"/>
        <v>0</v>
      </c>
      <c r="D139" s="654"/>
      <c r="E139" s="654"/>
      <c r="F139" s="523">
        <f t="shared" si="36"/>
        <v>0</v>
      </c>
      <c r="G139" s="654"/>
      <c r="H139" s="654"/>
      <c r="I139" s="499"/>
      <c r="J139" s="499"/>
      <c r="K139" s="612"/>
      <c r="L139" s="532">
        <v>17570000</v>
      </c>
      <c r="M139" s="533"/>
      <c r="N139" s="654"/>
      <c r="O139" s="626" t="s">
        <v>533</v>
      </c>
      <c r="P139" s="461"/>
      <c r="Q139" s="461"/>
      <c r="R139" s="461"/>
      <c r="S139" s="461"/>
      <c r="T139" s="461"/>
    </row>
    <row r="140" spans="1:20" s="466" customFormat="1" ht="15">
      <c r="A140" s="516"/>
      <c r="B140" s="542" t="s">
        <v>579</v>
      </c>
      <c r="C140" s="522">
        <f t="shared" si="35"/>
        <v>0</v>
      </c>
      <c r="D140" s="654"/>
      <c r="E140" s="654"/>
      <c r="F140" s="523">
        <f t="shared" si="36"/>
        <v>0</v>
      </c>
      <c r="G140" s="654"/>
      <c r="H140" s="654"/>
      <c r="I140" s="499"/>
      <c r="J140" s="499"/>
      <c r="K140" s="612"/>
      <c r="L140" s="532">
        <v>16420000</v>
      </c>
      <c r="M140" s="533"/>
      <c r="N140" s="654"/>
      <c r="O140" s="626" t="s">
        <v>533</v>
      </c>
      <c r="P140" s="461"/>
      <c r="Q140" s="461"/>
      <c r="R140" s="461"/>
      <c r="S140" s="461"/>
      <c r="T140" s="461"/>
    </row>
    <row r="141" spans="1:20" s="466" customFormat="1" ht="15">
      <c r="A141" s="516"/>
      <c r="B141" s="542" t="s">
        <v>580</v>
      </c>
      <c r="C141" s="522">
        <f t="shared" si="35"/>
        <v>0</v>
      </c>
      <c r="D141" s="654"/>
      <c r="E141" s="654"/>
      <c r="F141" s="523">
        <f t="shared" si="36"/>
        <v>0</v>
      </c>
      <c r="G141" s="654"/>
      <c r="H141" s="654"/>
      <c r="I141" s="499"/>
      <c r="J141" s="499"/>
      <c r="K141" s="612"/>
      <c r="L141" s="532">
        <v>16390000</v>
      </c>
      <c r="M141" s="533"/>
      <c r="N141" s="654"/>
      <c r="O141" s="626" t="s">
        <v>533</v>
      </c>
      <c r="P141" s="461"/>
      <c r="Q141" s="461"/>
      <c r="R141" s="461"/>
      <c r="S141" s="461"/>
      <c r="T141" s="461"/>
    </row>
    <row r="142" spans="1:20" s="466" customFormat="1" ht="15">
      <c r="A142" s="516"/>
      <c r="B142" s="542" t="s">
        <v>581</v>
      </c>
      <c r="C142" s="522">
        <f t="shared" si="35"/>
        <v>0</v>
      </c>
      <c r="D142" s="654"/>
      <c r="E142" s="654"/>
      <c r="F142" s="523">
        <f t="shared" si="36"/>
        <v>0</v>
      </c>
      <c r="G142" s="654"/>
      <c r="H142" s="654"/>
      <c r="I142" s="499"/>
      <c r="J142" s="499"/>
      <c r="K142" s="612"/>
      <c r="L142" s="532">
        <v>19730000</v>
      </c>
      <c r="M142" s="533"/>
      <c r="N142" s="654"/>
      <c r="O142" s="626" t="s">
        <v>533</v>
      </c>
      <c r="P142" s="461"/>
      <c r="Q142" s="461"/>
      <c r="R142" s="461"/>
      <c r="S142" s="461"/>
      <c r="T142" s="461"/>
    </row>
    <row r="143" spans="1:20" s="466" customFormat="1" ht="15">
      <c r="A143" s="516"/>
      <c r="B143" s="542" t="s">
        <v>582</v>
      </c>
      <c r="C143" s="522">
        <f t="shared" si="35"/>
        <v>0</v>
      </c>
      <c r="D143" s="654"/>
      <c r="E143" s="654"/>
      <c r="F143" s="523">
        <f t="shared" si="36"/>
        <v>0</v>
      </c>
      <c r="G143" s="654"/>
      <c r="H143" s="654"/>
      <c r="I143" s="499"/>
      <c r="J143" s="499"/>
      <c r="K143" s="612"/>
      <c r="L143" s="532">
        <v>17650000</v>
      </c>
      <c r="M143" s="533"/>
      <c r="N143" s="654"/>
      <c r="O143" s="626" t="s">
        <v>533</v>
      </c>
      <c r="P143" s="461"/>
      <c r="Q143" s="461"/>
      <c r="R143" s="461"/>
      <c r="S143" s="461"/>
      <c r="T143" s="461"/>
    </row>
    <row r="144" spans="1:20" s="466" customFormat="1" ht="15">
      <c r="A144" s="516"/>
      <c r="B144" s="542" t="s">
        <v>583</v>
      </c>
      <c r="C144" s="522">
        <f t="shared" si="35"/>
        <v>0</v>
      </c>
      <c r="D144" s="654"/>
      <c r="E144" s="654"/>
      <c r="F144" s="523">
        <f t="shared" si="36"/>
        <v>0</v>
      </c>
      <c r="G144" s="654"/>
      <c r="H144" s="654"/>
      <c r="I144" s="499"/>
      <c r="J144" s="499"/>
      <c r="K144" s="612"/>
      <c r="L144" s="532">
        <v>18720000</v>
      </c>
      <c r="M144" s="533"/>
      <c r="N144" s="654"/>
      <c r="O144" s="626" t="s">
        <v>533</v>
      </c>
      <c r="P144" s="461"/>
      <c r="Q144" s="461"/>
      <c r="R144" s="461"/>
      <c r="S144" s="461"/>
      <c r="T144" s="461"/>
    </row>
    <row r="145" spans="1:20" s="466" customFormat="1" ht="15">
      <c r="A145" s="516"/>
      <c r="B145" s="542" t="s">
        <v>584</v>
      </c>
      <c r="C145" s="522">
        <f t="shared" si="35"/>
        <v>4000000</v>
      </c>
      <c r="D145" s="654"/>
      <c r="E145" s="654">
        <v>4000000</v>
      </c>
      <c r="F145" s="523">
        <f t="shared" si="36"/>
        <v>4000000</v>
      </c>
      <c r="G145" s="654"/>
      <c r="H145" s="654">
        <v>4000000</v>
      </c>
      <c r="I145" s="499"/>
      <c r="J145" s="499"/>
      <c r="K145" s="612"/>
      <c r="L145" s="532">
        <v>15360000</v>
      </c>
      <c r="M145" s="533"/>
      <c r="N145" s="654"/>
      <c r="O145" s="626" t="s">
        <v>533</v>
      </c>
      <c r="P145" s="461"/>
      <c r="Q145" s="461"/>
      <c r="R145" s="461"/>
      <c r="S145" s="461"/>
      <c r="T145" s="461"/>
    </row>
    <row r="146" spans="1:20" s="379" customFormat="1" ht="12.75">
      <c r="A146" s="659"/>
      <c r="B146" s="660" t="s">
        <v>585</v>
      </c>
      <c r="C146" s="572">
        <f t="shared" si="35"/>
        <v>0</v>
      </c>
      <c r="D146" s="661"/>
      <c r="E146" s="661"/>
      <c r="F146" s="574">
        <f>G146+H146</f>
        <v>0</v>
      </c>
      <c r="G146" s="661"/>
      <c r="H146" s="661"/>
      <c r="I146" s="578"/>
      <c r="J146" s="578"/>
      <c r="K146" s="613"/>
      <c r="L146" s="579">
        <v>17590000</v>
      </c>
      <c r="M146" s="580"/>
      <c r="N146" s="661"/>
      <c r="O146" s="627" t="s">
        <v>533</v>
      </c>
      <c r="P146" s="461"/>
      <c r="Q146" s="461"/>
      <c r="R146" s="461"/>
      <c r="S146" s="461"/>
      <c r="T146" s="461"/>
    </row>
    <row r="147" spans="1:15" s="577" customFormat="1" ht="24" customHeight="1">
      <c r="A147" s="497">
        <v>3</v>
      </c>
      <c r="B147" s="498" t="s">
        <v>63</v>
      </c>
      <c r="C147" s="487">
        <f>C148+C149</f>
        <v>37515000</v>
      </c>
      <c r="D147" s="487">
        <f aca="true" t="shared" si="37" ref="D147:N147">D148+D149</f>
        <v>0</v>
      </c>
      <c r="E147" s="487">
        <f t="shared" si="37"/>
        <v>37515000</v>
      </c>
      <c r="F147" s="487">
        <f t="shared" si="37"/>
        <v>0</v>
      </c>
      <c r="G147" s="487">
        <f t="shared" si="37"/>
        <v>0</v>
      </c>
      <c r="H147" s="487">
        <f t="shared" si="37"/>
        <v>0</v>
      </c>
      <c r="I147" s="487">
        <f t="shared" si="37"/>
        <v>6324705733</v>
      </c>
      <c r="J147" s="487">
        <f t="shared" si="37"/>
        <v>1026772108</v>
      </c>
      <c r="K147" s="607"/>
      <c r="L147" s="487">
        <f t="shared" si="37"/>
        <v>47059380</v>
      </c>
      <c r="M147" s="487">
        <f t="shared" si="37"/>
        <v>410708843.20000005</v>
      </c>
      <c r="N147" s="487">
        <f t="shared" si="37"/>
        <v>164283537.28000003</v>
      </c>
      <c r="O147" s="576"/>
    </row>
    <row r="148" spans="1:20" s="496" customFormat="1" ht="24">
      <c r="A148" s="625"/>
      <c r="B148" s="581" t="s">
        <v>302</v>
      </c>
      <c r="C148" s="582">
        <f>D148+E148</f>
        <v>37515000</v>
      </c>
      <c r="D148" s="583"/>
      <c r="E148" s="583">
        <v>37515000</v>
      </c>
      <c r="F148" s="584">
        <f>G148+H148</f>
        <v>0</v>
      </c>
      <c r="G148" s="584"/>
      <c r="H148" s="584"/>
      <c r="I148" s="584">
        <v>6324705733</v>
      </c>
      <c r="J148" s="584">
        <v>1026772108</v>
      </c>
      <c r="K148" s="614"/>
      <c r="L148" s="584">
        <f>'Phụ lục 1'!E31*10^6</f>
        <v>47059380</v>
      </c>
      <c r="M148" s="584">
        <f>J148*40%</f>
        <v>410708843.20000005</v>
      </c>
      <c r="N148" s="584">
        <f>(M148*40%)</f>
        <v>164283537.28000003</v>
      </c>
      <c r="O148" s="585">
        <v>0.4</v>
      </c>
      <c r="P148" s="495"/>
      <c r="Q148" s="495"/>
      <c r="R148" s="495"/>
      <c r="S148" s="495"/>
      <c r="T148" s="495"/>
    </row>
    <row r="149" spans="1:20" s="83" customFormat="1" ht="12.75">
      <c r="A149" s="662"/>
      <c r="B149" s="586" t="s">
        <v>571</v>
      </c>
      <c r="C149" s="587"/>
      <c r="D149" s="587"/>
      <c r="E149" s="588"/>
      <c r="F149" s="589"/>
      <c r="G149" s="589"/>
      <c r="H149" s="589"/>
      <c r="I149" s="589"/>
      <c r="J149" s="589"/>
      <c r="K149" s="615"/>
      <c r="L149" s="589"/>
      <c r="M149" s="589"/>
      <c r="N149" s="589"/>
      <c r="O149" s="663"/>
      <c r="P149" s="650"/>
      <c r="Q149" s="650"/>
      <c r="R149" s="650"/>
      <c r="S149" s="650"/>
      <c r="T149" s="650"/>
    </row>
    <row r="150" spans="1:15" s="577" customFormat="1" ht="23.25" customHeight="1">
      <c r="A150" s="497" t="s">
        <v>28</v>
      </c>
      <c r="B150" s="498" t="s">
        <v>29</v>
      </c>
      <c r="C150" s="487">
        <f>SUM(C151:C162)</f>
        <v>5448412748</v>
      </c>
      <c r="D150" s="487">
        <f aca="true" t="shared" si="38" ref="D150:N150">SUM(D151:D162)</f>
        <v>0</v>
      </c>
      <c r="E150" s="487">
        <f t="shared" si="38"/>
        <v>4630589119</v>
      </c>
      <c r="F150" s="487">
        <f t="shared" si="38"/>
        <v>2484436522</v>
      </c>
      <c r="G150" s="487">
        <f t="shared" si="38"/>
        <v>267906249</v>
      </c>
      <c r="H150" s="487">
        <f t="shared" si="38"/>
        <v>2216530273</v>
      </c>
      <c r="I150" s="487">
        <f t="shared" si="38"/>
        <v>7228237112</v>
      </c>
      <c r="J150" s="487">
        <f t="shared" si="38"/>
        <v>1897257130</v>
      </c>
      <c r="K150" s="607"/>
      <c r="L150" s="487">
        <f t="shared" si="38"/>
        <v>1138886100</v>
      </c>
      <c r="M150" s="487">
        <f t="shared" si="38"/>
        <v>5476000000</v>
      </c>
      <c r="N150" s="487">
        <f t="shared" si="38"/>
        <v>720400000</v>
      </c>
      <c r="O150" s="576"/>
    </row>
    <row r="151" spans="1:20" ht="12.75">
      <c r="A151" s="664"/>
      <c r="B151" s="590" t="s">
        <v>572</v>
      </c>
      <c r="C151" s="582">
        <f>SUM(C152:C159)</f>
        <v>586679000</v>
      </c>
      <c r="D151" s="582">
        <f aca="true" t="shared" si="39" ref="D151:O151">SUM(D152:D159)</f>
        <v>0</v>
      </c>
      <c r="E151" s="591">
        <f t="shared" si="39"/>
        <v>586679000</v>
      </c>
      <c r="F151" s="582">
        <f t="shared" si="39"/>
        <v>768697819</v>
      </c>
      <c r="G151" s="582">
        <f t="shared" si="39"/>
        <v>2462000</v>
      </c>
      <c r="H151" s="582">
        <f t="shared" si="39"/>
        <v>766235819</v>
      </c>
      <c r="I151" s="582">
        <f t="shared" si="39"/>
        <v>1268266000</v>
      </c>
      <c r="J151" s="582">
        <f t="shared" si="39"/>
        <v>422283083</v>
      </c>
      <c r="K151" s="616"/>
      <c r="L151" s="582">
        <f t="shared" si="39"/>
        <v>466267800</v>
      </c>
      <c r="M151" s="582">
        <f t="shared" si="39"/>
        <v>383000000</v>
      </c>
      <c r="N151" s="582">
        <f t="shared" si="39"/>
        <v>153200000</v>
      </c>
      <c r="O151" s="592">
        <f t="shared" si="39"/>
        <v>2.8</v>
      </c>
      <c r="P151" s="495"/>
      <c r="Q151" s="495"/>
      <c r="R151" s="495"/>
      <c r="S151" s="495"/>
      <c r="T151" s="495"/>
    </row>
    <row r="152" spans="1:20" ht="12.75">
      <c r="A152" s="665"/>
      <c r="B152" s="536" t="s">
        <v>252</v>
      </c>
      <c r="C152" s="522">
        <f aca="true" t="shared" si="40" ref="C152:C161">D152+E152</f>
        <v>285000000</v>
      </c>
      <c r="D152" s="522">
        <v>0</v>
      </c>
      <c r="E152" s="526">
        <v>285000000</v>
      </c>
      <c r="F152" s="523">
        <v>331000000</v>
      </c>
      <c r="G152" s="523">
        <v>0</v>
      </c>
      <c r="H152" s="523">
        <v>331000000</v>
      </c>
      <c r="I152" s="523">
        <v>734696000</v>
      </c>
      <c r="J152" s="523">
        <v>116000000</v>
      </c>
      <c r="K152" s="610"/>
      <c r="L152" s="523">
        <f>'Phụ lục 1'!E35*1000000</f>
        <v>77358000</v>
      </c>
      <c r="M152" s="523">
        <v>85000000</v>
      </c>
      <c r="N152" s="523">
        <f>M152*40%</f>
        <v>34000000</v>
      </c>
      <c r="O152" s="535">
        <v>0.4</v>
      </c>
      <c r="P152" s="495"/>
      <c r="Q152" s="495"/>
      <c r="R152" s="495"/>
      <c r="S152" s="495"/>
      <c r="T152" s="495"/>
    </row>
    <row r="153" spans="1:20" ht="24">
      <c r="A153" s="665"/>
      <c r="B153" s="536" t="s">
        <v>259</v>
      </c>
      <c r="C153" s="522">
        <f t="shared" si="40"/>
        <v>32405000</v>
      </c>
      <c r="D153" s="522">
        <v>0</v>
      </c>
      <c r="E153" s="526">
        <v>32405000</v>
      </c>
      <c r="F153" s="523">
        <v>44856000</v>
      </c>
      <c r="G153" s="523">
        <v>0</v>
      </c>
      <c r="H153" s="523">
        <v>44856000</v>
      </c>
      <c r="I153" s="523">
        <v>65200000</v>
      </c>
      <c r="J153" s="523">
        <v>31125083</v>
      </c>
      <c r="K153" s="610"/>
      <c r="L153" s="523">
        <f>'Phụ lục 1'!E36*1000000</f>
        <v>103734000.00000001</v>
      </c>
      <c r="M153" s="523">
        <v>30000000</v>
      </c>
      <c r="N153" s="523">
        <f aca="true" t="shared" si="41" ref="N153:N160">M153*40%</f>
        <v>12000000</v>
      </c>
      <c r="O153" s="535">
        <v>0.4</v>
      </c>
      <c r="P153" s="495"/>
      <c r="Q153" s="495"/>
      <c r="R153" s="495"/>
      <c r="S153" s="495"/>
      <c r="T153" s="495"/>
    </row>
    <row r="154" spans="1:20" ht="12.75">
      <c r="A154" s="665"/>
      <c r="B154" s="536" t="s">
        <v>253</v>
      </c>
      <c r="C154" s="522">
        <f t="shared" si="40"/>
        <v>15000000</v>
      </c>
      <c r="D154" s="522">
        <v>0</v>
      </c>
      <c r="E154" s="526">
        <v>15000000</v>
      </c>
      <c r="F154" s="523">
        <v>44000000</v>
      </c>
      <c r="G154" s="523">
        <v>2462000</v>
      </c>
      <c r="H154" s="523">
        <f>F154-G154</f>
        <v>41538000</v>
      </c>
      <c r="I154" s="523">
        <v>0</v>
      </c>
      <c r="J154" s="523">
        <v>22000000</v>
      </c>
      <c r="K154" s="610"/>
      <c r="L154" s="523">
        <f>'Phụ lục 1'!E37*1000000</f>
        <v>72499800.00000001</v>
      </c>
      <c r="M154" s="523">
        <v>22000000</v>
      </c>
      <c r="N154" s="523">
        <f t="shared" si="41"/>
        <v>8800000</v>
      </c>
      <c r="O154" s="535">
        <v>0.4</v>
      </c>
      <c r="P154" s="495"/>
      <c r="Q154" s="495"/>
      <c r="R154" s="495"/>
      <c r="S154" s="495"/>
      <c r="T154" s="495"/>
    </row>
    <row r="155" spans="1:20" ht="12.75">
      <c r="A155" s="665"/>
      <c r="B155" s="536" t="s">
        <v>254</v>
      </c>
      <c r="C155" s="522">
        <f t="shared" si="40"/>
        <v>69000000</v>
      </c>
      <c r="D155" s="522">
        <v>0</v>
      </c>
      <c r="E155" s="526">
        <v>69000000</v>
      </c>
      <c r="F155" s="523">
        <f aca="true" t="shared" si="42" ref="F155:F161">G155+H155</f>
        <v>77000000</v>
      </c>
      <c r="G155" s="523">
        <v>0</v>
      </c>
      <c r="H155" s="523">
        <v>77000000</v>
      </c>
      <c r="I155" s="523">
        <v>216000000</v>
      </c>
      <c r="J155" s="523">
        <v>194000000</v>
      </c>
      <c r="K155" s="610"/>
      <c r="L155" s="523">
        <f>'Phụ lục 1'!E38*1000000</f>
        <v>82096800</v>
      </c>
      <c r="M155" s="523">
        <v>216000000</v>
      </c>
      <c r="N155" s="523">
        <f t="shared" si="41"/>
        <v>86400000</v>
      </c>
      <c r="O155" s="535">
        <v>0.4</v>
      </c>
      <c r="P155" s="495"/>
      <c r="Q155" s="495"/>
      <c r="R155" s="495"/>
      <c r="S155" s="495"/>
      <c r="T155" s="495"/>
    </row>
    <row r="156" spans="1:20" ht="12.75">
      <c r="A156" s="665"/>
      <c r="B156" s="536" t="s">
        <v>255</v>
      </c>
      <c r="C156" s="522">
        <f t="shared" si="40"/>
        <v>96000000</v>
      </c>
      <c r="D156" s="522">
        <v>0</v>
      </c>
      <c r="E156" s="526">
        <v>96000000</v>
      </c>
      <c r="F156" s="523">
        <f t="shared" si="42"/>
        <v>208567819</v>
      </c>
      <c r="G156" s="523">
        <v>0</v>
      </c>
      <c r="H156" s="523">
        <v>208567819</v>
      </c>
      <c r="I156" s="523"/>
      <c r="J156" s="523"/>
      <c r="K156" s="610"/>
      <c r="L156" s="523"/>
      <c r="M156" s="523"/>
      <c r="N156" s="523">
        <f t="shared" si="41"/>
        <v>0</v>
      </c>
      <c r="O156" s="535">
        <v>0.4</v>
      </c>
      <c r="P156" s="495"/>
      <c r="Q156" s="495"/>
      <c r="R156" s="495"/>
      <c r="S156" s="495"/>
      <c r="T156" s="495"/>
    </row>
    <row r="157" spans="1:20" ht="12.75">
      <c r="A157" s="665"/>
      <c r="B157" s="536" t="s">
        <v>256</v>
      </c>
      <c r="C157" s="522">
        <f t="shared" si="40"/>
        <v>63274000</v>
      </c>
      <c r="D157" s="522">
        <v>0</v>
      </c>
      <c r="E157" s="526">
        <v>63274000</v>
      </c>
      <c r="F157" s="523">
        <f t="shared" si="42"/>
        <v>63274000</v>
      </c>
      <c r="G157" s="523">
        <v>0</v>
      </c>
      <c r="H157" s="523">
        <v>63274000</v>
      </c>
      <c r="I157" s="523">
        <v>252370000</v>
      </c>
      <c r="J157" s="523">
        <v>59158000</v>
      </c>
      <c r="K157" s="610"/>
      <c r="L157" s="523">
        <f>'Phụ lục 1'!E40*1000000</f>
        <v>58856399.99999999</v>
      </c>
      <c r="M157" s="523">
        <v>30000000</v>
      </c>
      <c r="N157" s="523">
        <f t="shared" si="41"/>
        <v>12000000</v>
      </c>
      <c r="O157" s="535">
        <v>0.4</v>
      </c>
      <c r="P157" s="495"/>
      <c r="Q157" s="495"/>
      <c r="R157" s="495"/>
      <c r="S157" s="495"/>
      <c r="T157" s="495"/>
    </row>
    <row r="158" spans="1:20" ht="24">
      <c r="A158" s="665"/>
      <c r="B158" s="536" t="s">
        <v>260</v>
      </c>
      <c r="C158" s="522">
        <f t="shared" si="40"/>
        <v>26000000</v>
      </c>
      <c r="D158" s="522">
        <v>0</v>
      </c>
      <c r="E158" s="526">
        <v>26000000</v>
      </c>
      <c r="F158" s="523">
        <f t="shared" si="42"/>
        <v>0</v>
      </c>
      <c r="G158" s="523">
        <v>0</v>
      </c>
      <c r="H158" s="523">
        <v>0</v>
      </c>
      <c r="I158" s="523">
        <v>0</v>
      </c>
      <c r="J158" s="523">
        <v>0</v>
      </c>
      <c r="K158" s="610"/>
      <c r="L158" s="523">
        <f>'Phụ lục 1'!E41*1000000</f>
        <v>46199400</v>
      </c>
      <c r="M158" s="523">
        <v>0</v>
      </c>
      <c r="N158" s="523">
        <f t="shared" si="41"/>
        <v>0</v>
      </c>
      <c r="O158" s="535">
        <v>0.4</v>
      </c>
      <c r="P158" s="495"/>
      <c r="Q158" s="495"/>
      <c r="R158" s="495"/>
      <c r="S158" s="495"/>
      <c r="T158" s="495"/>
    </row>
    <row r="159" spans="1:20" ht="12.75">
      <c r="A159" s="665"/>
      <c r="B159" s="536" t="s">
        <v>258</v>
      </c>
      <c r="C159" s="522">
        <f t="shared" si="40"/>
        <v>0</v>
      </c>
      <c r="D159" s="522">
        <v>0</v>
      </c>
      <c r="E159" s="526">
        <v>0</v>
      </c>
      <c r="F159" s="523">
        <f t="shared" si="42"/>
        <v>0</v>
      </c>
      <c r="G159" s="523">
        <v>0</v>
      </c>
      <c r="H159" s="523">
        <v>0</v>
      </c>
      <c r="I159" s="523">
        <v>0</v>
      </c>
      <c r="J159" s="523">
        <v>0</v>
      </c>
      <c r="K159" s="610"/>
      <c r="L159" s="523">
        <f>'Phụ lục 1'!E42*1000000</f>
        <v>25523400</v>
      </c>
      <c r="M159" s="523">
        <v>0</v>
      </c>
      <c r="N159" s="523">
        <f t="shared" si="41"/>
        <v>0</v>
      </c>
      <c r="O159" s="646">
        <v>0</v>
      </c>
      <c r="P159" s="495"/>
      <c r="Q159" s="495"/>
      <c r="R159" s="495"/>
      <c r="S159" s="495"/>
      <c r="T159" s="495"/>
    </row>
    <row r="160" spans="1:20" ht="24">
      <c r="A160" s="665"/>
      <c r="B160" s="537" t="s">
        <v>458</v>
      </c>
      <c r="C160" s="522">
        <v>817823629</v>
      </c>
      <c r="D160" s="522"/>
      <c r="E160" s="526"/>
      <c r="F160" s="523">
        <f t="shared" si="42"/>
        <v>421076386</v>
      </c>
      <c r="G160" s="523">
        <v>0</v>
      </c>
      <c r="H160" s="523">
        <v>421076386</v>
      </c>
      <c r="I160" s="523">
        <v>4691705112</v>
      </c>
      <c r="J160" s="523">
        <v>1052690964</v>
      </c>
      <c r="K160" s="610"/>
      <c r="L160" s="523">
        <f>'Phụ lục 1'!E43*1000000</f>
        <v>61846199.99999999</v>
      </c>
      <c r="M160" s="523">
        <v>510000000</v>
      </c>
      <c r="N160" s="523">
        <f t="shared" si="41"/>
        <v>204000000</v>
      </c>
      <c r="O160" s="535">
        <v>0.4</v>
      </c>
      <c r="P160" s="495"/>
      <c r="Q160" s="495"/>
      <c r="R160" s="495"/>
      <c r="S160" s="495"/>
      <c r="T160" s="495"/>
    </row>
    <row r="161" spans="1:20" ht="12.75">
      <c r="A161" s="665"/>
      <c r="B161" s="537" t="s">
        <v>529</v>
      </c>
      <c r="C161" s="522">
        <f t="shared" si="40"/>
        <v>3457231119</v>
      </c>
      <c r="D161" s="522">
        <v>0</v>
      </c>
      <c r="E161" s="526">
        <v>3457231119</v>
      </c>
      <c r="F161" s="523">
        <f t="shared" si="42"/>
        <v>525964498</v>
      </c>
      <c r="G161" s="523">
        <v>262982249</v>
      </c>
      <c r="H161" s="523">
        <v>262982249</v>
      </c>
      <c r="I161" s="523"/>
      <c r="J161" s="523"/>
      <c r="K161" s="610"/>
      <c r="L161" s="523">
        <f>'Phụ lục 1'!E44*10^6</f>
        <v>55044300</v>
      </c>
      <c r="M161" s="523">
        <v>4200000000</v>
      </c>
      <c r="N161" s="523">
        <f>M161*0.05</f>
        <v>210000000</v>
      </c>
      <c r="O161" s="535">
        <v>0.05</v>
      </c>
      <c r="P161" s="495"/>
      <c r="Q161" s="495"/>
      <c r="R161" s="495"/>
      <c r="S161" s="495"/>
      <c r="T161" s="495"/>
    </row>
    <row r="162" spans="1:20" ht="12.75">
      <c r="A162" s="651"/>
      <c r="B162" s="593" t="s">
        <v>354</v>
      </c>
      <c r="C162" s="572"/>
      <c r="D162" s="572"/>
      <c r="E162" s="573"/>
      <c r="F162" s="574"/>
      <c r="G162" s="574"/>
      <c r="H162" s="574"/>
      <c r="I162" s="574"/>
      <c r="J162" s="574"/>
      <c r="K162" s="611"/>
      <c r="L162" s="574">
        <f>'Phụ lục 1'!E45*1000000</f>
        <v>89460000</v>
      </c>
      <c r="M162" s="574"/>
      <c r="N162" s="574"/>
      <c r="O162" s="666"/>
      <c r="P162" s="495"/>
      <c r="Q162" s="495"/>
      <c r="R162" s="495"/>
      <c r="S162" s="495"/>
      <c r="T162" s="495"/>
    </row>
    <row r="163" spans="1:20" s="575" customFormat="1" ht="12.75">
      <c r="A163" s="497" t="s">
        <v>30</v>
      </c>
      <c r="B163" s="498" t="s">
        <v>31</v>
      </c>
      <c r="C163" s="487"/>
      <c r="D163" s="487"/>
      <c r="E163" s="513"/>
      <c r="F163" s="494"/>
      <c r="G163" s="494"/>
      <c r="H163" s="494"/>
      <c r="I163" s="494"/>
      <c r="J163" s="494"/>
      <c r="K163" s="617"/>
      <c r="L163" s="494"/>
      <c r="M163" s="494"/>
      <c r="N163" s="494"/>
      <c r="O163" s="576"/>
      <c r="P163" s="577"/>
      <c r="Q163" s="577"/>
      <c r="R163" s="577"/>
      <c r="S163" s="577"/>
      <c r="T163" s="577"/>
    </row>
    <row r="164" spans="1:20" s="570" customFormat="1" ht="12.75">
      <c r="A164" s="497" t="s">
        <v>32</v>
      </c>
      <c r="B164" s="498" t="s">
        <v>33</v>
      </c>
      <c r="C164" s="488"/>
      <c r="D164" s="488"/>
      <c r="E164" s="512"/>
      <c r="F164" s="493"/>
      <c r="G164" s="493"/>
      <c r="H164" s="493"/>
      <c r="I164" s="493"/>
      <c r="J164" s="493"/>
      <c r="K164" s="618"/>
      <c r="L164" s="493"/>
      <c r="M164" s="493"/>
      <c r="N164" s="493"/>
      <c r="O164" s="638"/>
      <c r="P164" s="639"/>
      <c r="Q164" s="639"/>
      <c r="R164" s="639"/>
      <c r="S164" s="639"/>
      <c r="T164" s="639"/>
    </row>
    <row r="165" spans="1:20" s="575" customFormat="1" ht="12.75">
      <c r="A165" s="497" t="s">
        <v>34</v>
      </c>
      <c r="B165" s="498" t="s">
        <v>35</v>
      </c>
      <c r="C165" s="487">
        <f>C166</f>
        <v>247603000</v>
      </c>
      <c r="D165" s="487">
        <f aca="true" t="shared" si="43" ref="D165:N165">D166</f>
        <v>0</v>
      </c>
      <c r="E165" s="487">
        <f t="shared" si="43"/>
        <v>247603000</v>
      </c>
      <c r="F165" s="487">
        <f t="shared" si="43"/>
        <v>247603000</v>
      </c>
      <c r="G165" s="487">
        <f t="shared" si="43"/>
        <v>0</v>
      </c>
      <c r="H165" s="487">
        <f t="shared" si="43"/>
        <v>247603000</v>
      </c>
      <c r="I165" s="487">
        <f t="shared" si="43"/>
        <v>195101315</v>
      </c>
      <c r="J165" s="487">
        <f t="shared" si="43"/>
        <v>195101315</v>
      </c>
      <c r="K165" s="607"/>
      <c r="L165" s="487">
        <f t="shared" si="43"/>
        <v>-31022399.999999996</v>
      </c>
      <c r="M165" s="487">
        <f t="shared" si="43"/>
        <v>500000000</v>
      </c>
      <c r="N165" s="487">
        <f t="shared" si="43"/>
        <v>200000000</v>
      </c>
      <c r="O165" s="576"/>
      <c r="P165" s="577"/>
      <c r="Q165" s="577"/>
      <c r="R165" s="577"/>
      <c r="S165" s="577"/>
      <c r="T165" s="577"/>
    </row>
    <row r="166" spans="1:20" ht="12.75">
      <c r="A166" s="667"/>
      <c r="B166" s="594" t="s">
        <v>445</v>
      </c>
      <c r="C166" s="595">
        <f>D166+E166</f>
        <v>247603000</v>
      </c>
      <c r="D166" s="595">
        <v>0</v>
      </c>
      <c r="E166" s="596">
        <v>247603000</v>
      </c>
      <c r="F166" s="597">
        <f>G166+H166</f>
        <v>247603000</v>
      </c>
      <c r="G166" s="597">
        <v>0</v>
      </c>
      <c r="H166" s="595">
        <v>247603000</v>
      </c>
      <c r="I166" s="597">
        <v>195101315</v>
      </c>
      <c r="J166" s="597">
        <v>195101315</v>
      </c>
      <c r="K166" s="619"/>
      <c r="L166" s="597">
        <f>'Phụ lục 1'!E55*1000000</f>
        <v>-31022399.999999996</v>
      </c>
      <c r="M166" s="597">
        <v>500000000</v>
      </c>
      <c r="N166" s="597">
        <f>M166*40%</f>
        <v>200000000</v>
      </c>
      <c r="O166" s="668">
        <v>0.05</v>
      </c>
      <c r="P166" s="495"/>
      <c r="Q166" s="495"/>
      <c r="R166" s="495"/>
      <c r="S166" s="495"/>
      <c r="T166" s="495"/>
    </row>
    <row r="167" spans="1:20" s="575" customFormat="1" ht="12.75">
      <c r="A167" s="497" t="s">
        <v>36</v>
      </c>
      <c r="B167" s="498" t="s">
        <v>307</v>
      </c>
      <c r="C167" s="487">
        <f>C168+C171+C175+C182</f>
        <v>14852581437</v>
      </c>
      <c r="D167" s="487">
        <f aca="true" t="shared" si="44" ref="D167:O167">D168+D171+D175+D182</f>
        <v>10942119683</v>
      </c>
      <c r="E167" s="487">
        <f t="shared" si="44"/>
        <v>3935975583</v>
      </c>
      <c r="F167" s="487">
        <f t="shared" si="44"/>
        <v>14105940898</v>
      </c>
      <c r="G167" s="487">
        <f t="shared" si="44"/>
        <v>10910348236</v>
      </c>
      <c r="H167" s="487">
        <f t="shared" si="44"/>
        <v>3195592662</v>
      </c>
      <c r="I167" s="487">
        <f t="shared" si="44"/>
        <v>48027018175</v>
      </c>
      <c r="J167" s="487">
        <f t="shared" si="44"/>
        <v>23934404003</v>
      </c>
      <c r="K167" s="607"/>
      <c r="L167" s="487">
        <f t="shared" si="44"/>
        <v>1800287834</v>
      </c>
      <c r="M167" s="487">
        <f t="shared" si="44"/>
        <v>28707336081</v>
      </c>
      <c r="N167" s="487">
        <f t="shared" si="44"/>
        <v>1511224432</v>
      </c>
      <c r="O167" s="628">
        <f t="shared" si="44"/>
        <v>0</v>
      </c>
      <c r="P167" s="577"/>
      <c r="Q167" s="577"/>
      <c r="R167" s="577"/>
      <c r="S167" s="577"/>
      <c r="T167" s="577"/>
    </row>
    <row r="168" spans="1:20" s="379" customFormat="1" ht="24">
      <c r="A168" s="625"/>
      <c r="B168" s="598" t="s">
        <v>197</v>
      </c>
      <c r="C168" s="565">
        <f>C169+C170</f>
        <v>0</v>
      </c>
      <c r="D168" s="565">
        <f aca="true" t="shared" si="45" ref="D168:N168">D169+D170</f>
        <v>0</v>
      </c>
      <c r="E168" s="565">
        <f t="shared" si="45"/>
        <v>25513829</v>
      </c>
      <c r="F168" s="565">
        <f t="shared" si="45"/>
        <v>65439070</v>
      </c>
      <c r="G168" s="565">
        <f t="shared" si="45"/>
        <v>26046168</v>
      </c>
      <c r="H168" s="565">
        <f t="shared" si="45"/>
        <v>39392902</v>
      </c>
      <c r="I168" s="565">
        <f t="shared" si="45"/>
        <v>317958000</v>
      </c>
      <c r="J168" s="565">
        <f t="shared" si="45"/>
        <v>65115420</v>
      </c>
      <c r="K168" s="608"/>
      <c r="L168" s="565">
        <f t="shared" si="45"/>
        <v>240645012</v>
      </c>
      <c r="M168" s="565">
        <f t="shared" si="45"/>
        <v>55000000</v>
      </c>
      <c r="N168" s="565">
        <f t="shared" si="45"/>
        <v>22000000</v>
      </c>
      <c r="O168" s="653"/>
      <c r="P168" s="461"/>
      <c r="Q168" s="461"/>
      <c r="R168" s="461"/>
      <c r="S168" s="461"/>
      <c r="T168" s="461"/>
    </row>
    <row r="169" spans="1:20" ht="12.75">
      <c r="A169" s="524"/>
      <c r="B169" s="527" t="s">
        <v>190</v>
      </c>
      <c r="C169" s="522"/>
      <c r="D169" s="522"/>
      <c r="E169" s="526"/>
      <c r="F169" s="523"/>
      <c r="G169" s="523"/>
      <c r="H169" s="523"/>
      <c r="I169" s="523"/>
      <c r="J169" s="523"/>
      <c r="K169" s="610"/>
      <c r="L169" s="523">
        <f>'Phụ lục 1'!E78*10^6</f>
        <v>198180000</v>
      </c>
      <c r="M169" s="523"/>
      <c r="N169" s="523"/>
      <c r="O169" s="646"/>
      <c r="P169" s="495"/>
      <c r="Q169" s="495"/>
      <c r="R169" s="495"/>
      <c r="S169" s="495"/>
      <c r="T169" s="495"/>
    </row>
    <row r="170" spans="1:20" ht="24">
      <c r="A170" s="524"/>
      <c r="B170" s="527" t="s">
        <v>213</v>
      </c>
      <c r="C170" s="522"/>
      <c r="D170" s="534">
        <v>0</v>
      </c>
      <c r="E170" s="539">
        <f>25513829</f>
        <v>25513829</v>
      </c>
      <c r="F170" s="523">
        <f>G170+H170</f>
        <v>65439070</v>
      </c>
      <c r="G170" s="540">
        <f>26046168</f>
        <v>26046168</v>
      </c>
      <c r="H170" s="540">
        <f>39392902</f>
        <v>39392902</v>
      </c>
      <c r="I170" s="541">
        <f>317958000</f>
        <v>317958000</v>
      </c>
      <c r="J170" s="542">
        <f>65115420</f>
        <v>65115420</v>
      </c>
      <c r="K170" s="620"/>
      <c r="L170" s="523">
        <f>'Phụ lục 1'!E79*1000000</f>
        <v>42465012</v>
      </c>
      <c r="M170" s="523">
        <v>55000000</v>
      </c>
      <c r="N170" s="523">
        <f>M170*40%</f>
        <v>22000000</v>
      </c>
      <c r="O170" s="535">
        <v>0.2</v>
      </c>
      <c r="P170" s="495"/>
      <c r="Q170" s="495"/>
      <c r="R170" s="495"/>
      <c r="S170" s="495"/>
      <c r="T170" s="495"/>
    </row>
    <row r="171" spans="1:20" s="379" customFormat="1" ht="12.75">
      <c r="A171" s="516"/>
      <c r="B171" s="538" t="s">
        <v>194</v>
      </c>
      <c r="C171" s="517">
        <f>SUM(C172:C174)</f>
        <v>1492677820</v>
      </c>
      <c r="D171" s="517">
        <f aca="true" t="shared" si="46" ref="D171:N171">SUM(D172:D174)</f>
        <v>437077000</v>
      </c>
      <c r="E171" s="517">
        <f t="shared" si="46"/>
        <v>1055600820</v>
      </c>
      <c r="F171" s="517">
        <f t="shared" si="46"/>
        <v>1765372000</v>
      </c>
      <c r="G171" s="517">
        <f t="shared" si="46"/>
        <v>272694000</v>
      </c>
      <c r="H171" s="517">
        <f t="shared" si="46"/>
        <v>1492678000</v>
      </c>
      <c r="I171" s="517">
        <f t="shared" si="46"/>
        <v>0</v>
      </c>
      <c r="J171" s="517">
        <f t="shared" si="46"/>
        <v>0</v>
      </c>
      <c r="K171" s="609"/>
      <c r="L171" s="517">
        <f t="shared" si="46"/>
        <v>124583760</v>
      </c>
      <c r="M171" s="517">
        <f t="shared" si="46"/>
        <v>368433600</v>
      </c>
      <c r="N171" s="517">
        <f t="shared" si="46"/>
        <v>147373440</v>
      </c>
      <c r="O171" s="669"/>
      <c r="P171" s="461"/>
      <c r="Q171" s="461"/>
      <c r="R171" s="461"/>
      <c r="S171" s="461"/>
      <c r="T171" s="461"/>
    </row>
    <row r="172" spans="1:20" ht="24">
      <c r="A172" s="524"/>
      <c r="B172" s="527" t="s">
        <v>182</v>
      </c>
      <c r="C172" s="522">
        <f>D172+E172</f>
        <v>959373820</v>
      </c>
      <c r="D172" s="522">
        <v>437077000</v>
      </c>
      <c r="E172" s="543">
        <f>522.29682*1000000</f>
        <v>522296820</v>
      </c>
      <c r="F172" s="523">
        <f>G172+H172</f>
        <v>1232068000</v>
      </c>
      <c r="G172" s="523">
        <v>272694000</v>
      </c>
      <c r="H172" s="523">
        <v>959374000</v>
      </c>
      <c r="I172" s="523"/>
      <c r="J172" s="523"/>
      <c r="K172" s="610"/>
      <c r="L172" s="523">
        <f>'Phụ lục 1'!E58*1000000</f>
        <v>85201799.99999999</v>
      </c>
      <c r="M172" s="523">
        <v>368433600</v>
      </c>
      <c r="N172" s="523">
        <f>M172*40%</f>
        <v>147373440</v>
      </c>
      <c r="O172" s="535">
        <v>0.2</v>
      </c>
      <c r="P172" s="495"/>
      <c r="Q172" s="495"/>
      <c r="R172" s="495"/>
      <c r="S172" s="495"/>
      <c r="T172" s="495"/>
    </row>
    <row r="173" spans="1:20" ht="17.25" customHeight="1">
      <c r="A173" s="524"/>
      <c r="B173" s="527" t="s">
        <v>247</v>
      </c>
      <c r="C173" s="522">
        <f aca="true" t="shared" si="47" ref="C173:C180">D173+E173</f>
        <v>533304000</v>
      </c>
      <c r="D173" s="522"/>
      <c r="E173" s="543">
        <f>533.304*1000000</f>
        <v>533304000</v>
      </c>
      <c r="F173" s="523">
        <f>G173+H173</f>
        <v>533304000</v>
      </c>
      <c r="G173" s="523"/>
      <c r="H173" s="523">
        <v>533304000</v>
      </c>
      <c r="I173" s="523"/>
      <c r="J173" s="523"/>
      <c r="K173" s="610"/>
      <c r="L173" s="523">
        <f>'Phụ lục 1'!E59*1000000</f>
        <v>39381960.00000001</v>
      </c>
      <c r="M173" s="523">
        <v>0</v>
      </c>
      <c r="N173" s="523">
        <v>0</v>
      </c>
      <c r="O173" s="646">
        <v>0</v>
      </c>
      <c r="P173" s="495"/>
      <c r="Q173" s="495"/>
      <c r="R173" s="495"/>
      <c r="S173" s="495"/>
      <c r="T173" s="495"/>
    </row>
    <row r="174" spans="1:20" ht="12.75">
      <c r="A174" s="524"/>
      <c r="B174" s="527" t="s">
        <v>183</v>
      </c>
      <c r="C174" s="522">
        <f t="shared" si="47"/>
        <v>0</v>
      </c>
      <c r="D174" s="522"/>
      <c r="E174" s="526"/>
      <c r="F174" s="523"/>
      <c r="G174" s="523"/>
      <c r="H174" s="523"/>
      <c r="I174" s="523"/>
      <c r="J174" s="523"/>
      <c r="K174" s="610"/>
      <c r="L174" s="523"/>
      <c r="M174" s="523"/>
      <c r="N174" s="523"/>
      <c r="O174" s="646"/>
      <c r="P174" s="495"/>
      <c r="Q174" s="495"/>
      <c r="R174" s="495"/>
      <c r="S174" s="495"/>
      <c r="T174" s="495"/>
    </row>
    <row r="175" spans="1:20" s="379" customFormat="1" ht="24">
      <c r="A175" s="516"/>
      <c r="B175" s="538" t="s">
        <v>196</v>
      </c>
      <c r="C175" s="517">
        <f>C176+C181</f>
        <v>11095497249</v>
      </c>
      <c r="D175" s="517">
        <f aca="true" t="shared" si="48" ref="D175:N175">D176+D181</f>
        <v>10343196942</v>
      </c>
      <c r="E175" s="517">
        <f t="shared" si="48"/>
        <v>752300307</v>
      </c>
      <c r="F175" s="517">
        <f t="shared" si="48"/>
        <v>11157375307</v>
      </c>
      <c r="G175" s="517">
        <f t="shared" si="48"/>
        <v>10405075000</v>
      </c>
      <c r="H175" s="517">
        <f t="shared" si="48"/>
        <v>752300307</v>
      </c>
      <c r="I175" s="517">
        <f t="shared" si="48"/>
        <v>36392191048</v>
      </c>
      <c r="J175" s="517">
        <f t="shared" si="48"/>
        <v>21688981250</v>
      </c>
      <c r="K175" s="609"/>
      <c r="L175" s="517">
        <f t="shared" si="48"/>
        <v>1282807982</v>
      </c>
      <c r="M175" s="517">
        <f t="shared" si="48"/>
        <v>27651902481</v>
      </c>
      <c r="N175" s="517">
        <f t="shared" si="48"/>
        <v>1089050992</v>
      </c>
      <c r="O175" s="669"/>
      <c r="P175" s="461"/>
      <c r="Q175" s="461"/>
      <c r="R175" s="461"/>
      <c r="S175" s="461"/>
      <c r="T175" s="461"/>
    </row>
    <row r="176" spans="1:20" s="379" customFormat="1" ht="12.75">
      <c r="A176" s="516"/>
      <c r="B176" s="538" t="s">
        <v>526</v>
      </c>
      <c r="C176" s="517">
        <f>C177+C179</f>
        <v>11095497249</v>
      </c>
      <c r="D176" s="517">
        <f aca="true" t="shared" si="49" ref="D176:N176">D177+D179</f>
        <v>10343196942</v>
      </c>
      <c r="E176" s="517">
        <f t="shared" si="49"/>
        <v>752300307</v>
      </c>
      <c r="F176" s="517">
        <f t="shared" si="49"/>
        <v>11157375307</v>
      </c>
      <c r="G176" s="517">
        <f t="shared" si="49"/>
        <v>10405075000</v>
      </c>
      <c r="H176" s="517">
        <f t="shared" si="49"/>
        <v>752300307</v>
      </c>
      <c r="I176" s="517">
        <f t="shared" si="49"/>
        <v>36392191048</v>
      </c>
      <c r="J176" s="517">
        <f t="shared" si="49"/>
        <v>21688981250</v>
      </c>
      <c r="K176" s="609"/>
      <c r="L176" s="517">
        <f t="shared" si="49"/>
        <v>561127982</v>
      </c>
      <c r="M176" s="517">
        <f t="shared" si="49"/>
        <v>27651902481</v>
      </c>
      <c r="N176" s="517">
        <f t="shared" si="49"/>
        <v>1089050992</v>
      </c>
      <c r="O176" s="669"/>
      <c r="P176" s="461"/>
      <c r="Q176" s="461"/>
      <c r="R176" s="461"/>
      <c r="S176" s="461"/>
      <c r="T176" s="461"/>
    </row>
    <row r="177" spans="1:20" s="379" customFormat="1" ht="12.75">
      <c r="A177" s="516"/>
      <c r="B177" s="538" t="s">
        <v>447</v>
      </c>
      <c r="C177" s="517">
        <f>C178</f>
        <v>9722053507</v>
      </c>
      <c r="D177" s="517">
        <f aca="true" t="shared" si="50" ref="D177:N177">D178</f>
        <v>9722053507</v>
      </c>
      <c r="E177" s="517">
        <f t="shared" si="50"/>
        <v>0</v>
      </c>
      <c r="F177" s="517">
        <f t="shared" si="50"/>
        <v>9729518500</v>
      </c>
      <c r="G177" s="517">
        <f t="shared" si="50"/>
        <v>9729518500</v>
      </c>
      <c r="H177" s="517">
        <f t="shared" si="50"/>
        <v>0</v>
      </c>
      <c r="I177" s="517">
        <f t="shared" si="50"/>
        <v>29179450786</v>
      </c>
      <c r="J177" s="517">
        <f t="shared" si="50"/>
        <v>20000000000</v>
      </c>
      <c r="K177" s="609"/>
      <c r="L177" s="517">
        <f t="shared" si="50"/>
        <v>424837982</v>
      </c>
      <c r="M177" s="517">
        <f t="shared" si="50"/>
        <v>26600000000</v>
      </c>
      <c r="N177" s="517">
        <f t="shared" si="50"/>
        <v>532000000</v>
      </c>
      <c r="O177" s="669"/>
      <c r="P177" s="461"/>
      <c r="Q177" s="461"/>
      <c r="R177" s="461"/>
      <c r="S177" s="461"/>
      <c r="T177" s="461"/>
    </row>
    <row r="178" spans="1:20" ht="12.75">
      <c r="A178" s="524"/>
      <c r="B178" s="527" t="s">
        <v>448</v>
      </c>
      <c r="C178" s="522">
        <f t="shared" si="47"/>
        <v>9722053507</v>
      </c>
      <c r="D178" s="522">
        <v>9722053507</v>
      </c>
      <c r="E178" s="526"/>
      <c r="F178" s="523">
        <f>G178+H178</f>
        <v>9729518500</v>
      </c>
      <c r="G178" s="523">
        <v>9729518500</v>
      </c>
      <c r="H178" s="523"/>
      <c r="I178" s="523">
        <v>29179450786</v>
      </c>
      <c r="J178" s="523">
        <v>20000000000</v>
      </c>
      <c r="K178" s="610"/>
      <c r="L178" s="523">
        <v>424837982</v>
      </c>
      <c r="M178" s="523">
        <v>26600000000</v>
      </c>
      <c r="N178" s="523">
        <f>M178*2%</f>
        <v>532000000</v>
      </c>
      <c r="O178" s="535">
        <v>0.02</v>
      </c>
      <c r="P178" s="495"/>
      <c r="Q178" s="495"/>
      <c r="R178" s="495"/>
      <c r="S178" s="495"/>
      <c r="T178" s="495"/>
    </row>
    <row r="179" spans="1:20" s="379" customFormat="1" ht="12.75">
      <c r="A179" s="516"/>
      <c r="B179" s="538" t="s">
        <v>449</v>
      </c>
      <c r="C179" s="517">
        <f>C180</f>
        <v>1373443742</v>
      </c>
      <c r="D179" s="517">
        <f aca="true" t="shared" si="51" ref="D179:N179">D180</f>
        <v>621143435</v>
      </c>
      <c r="E179" s="517">
        <f t="shared" si="51"/>
        <v>752300307</v>
      </c>
      <c r="F179" s="517">
        <f t="shared" si="51"/>
        <v>1427856807</v>
      </c>
      <c r="G179" s="517">
        <f t="shared" si="51"/>
        <v>675556500</v>
      </c>
      <c r="H179" s="517">
        <f t="shared" si="51"/>
        <v>752300307</v>
      </c>
      <c r="I179" s="517">
        <f t="shared" si="51"/>
        <v>7212740262</v>
      </c>
      <c r="J179" s="517">
        <f t="shared" si="51"/>
        <v>1688981250</v>
      </c>
      <c r="K179" s="609"/>
      <c r="L179" s="517">
        <f t="shared" si="51"/>
        <v>136290000</v>
      </c>
      <c r="M179" s="517">
        <f t="shared" si="51"/>
        <v>1051902481</v>
      </c>
      <c r="N179" s="517">
        <f t="shared" si="51"/>
        <v>557050992</v>
      </c>
      <c r="O179" s="669"/>
      <c r="P179" s="461"/>
      <c r="Q179" s="461"/>
      <c r="R179" s="461"/>
      <c r="S179" s="461"/>
      <c r="T179" s="461"/>
    </row>
    <row r="180" spans="1:20" ht="12.75">
      <c r="A180" s="524"/>
      <c r="B180" s="544" t="s">
        <v>450</v>
      </c>
      <c r="C180" s="522">
        <f t="shared" si="47"/>
        <v>1373443742</v>
      </c>
      <c r="D180" s="522">
        <v>621143435</v>
      </c>
      <c r="E180" s="526">
        <v>752300307</v>
      </c>
      <c r="F180" s="523">
        <f>G180+H180</f>
        <v>1427856807</v>
      </c>
      <c r="G180" s="523">
        <v>675556500</v>
      </c>
      <c r="H180" s="523">
        <v>752300307</v>
      </c>
      <c r="I180" s="523">
        <v>7212740262</v>
      </c>
      <c r="J180" s="523">
        <v>1688981250</v>
      </c>
      <c r="K180" s="610"/>
      <c r="L180" s="523">
        <v>136290000</v>
      </c>
      <c r="M180" s="523">
        <v>1051902481</v>
      </c>
      <c r="N180" s="523">
        <f>420760992+136290000</f>
        <v>557050992</v>
      </c>
      <c r="O180" s="535">
        <v>0.1</v>
      </c>
      <c r="P180" s="495"/>
      <c r="Q180" s="495"/>
      <c r="R180" s="495"/>
      <c r="S180" s="495"/>
      <c r="T180" s="495"/>
    </row>
    <row r="181" spans="1:20" s="379" customFormat="1" ht="12.75">
      <c r="A181" s="516"/>
      <c r="B181" s="545" t="s">
        <v>527</v>
      </c>
      <c r="C181" s="517"/>
      <c r="D181" s="517"/>
      <c r="E181" s="546"/>
      <c r="F181" s="499"/>
      <c r="G181" s="499"/>
      <c r="H181" s="499"/>
      <c r="I181" s="499"/>
      <c r="J181" s="499"/>
      <c r="K181" s="612"/>
      <c r="L181" s="499">
        <f>'Phụ lục 1'!E76*10^6</f>
        <v>721680000.0000001</v>
      </c>
      <c r="M181" s="499"/>
      <c r="N181" s="499"/>
      <c r="O181" s="670"/>
      <c r="P181" s="461"/>
      <c r="Q181" s="461"/>
      <c r="R181" s="461"/>
      <c r="S181" s="461"/>
      <c r="T181" s="461"/>
    </row>
    <row r="182" spans="1:20" ht="12.75">
      <c r="A182" s="516" t="s">
        <v>157</v>
      </c>
      <c r="B182" s="547" t="s">
        <v>156</v>
      </c>
      <c r="C182" s="517">
        <f>SUM(C183:C188)</f>
        <v>2264406368</v>
      </c>
      <c r="D182" s="517">
        <f aca="true" t="shared" si="52" ref="D182:N182">SUM(D183:D188)</f>
        <v>161845741</v>
      </c>
      <c r="E182" s="517">
        <f t="shared" si="52"/>
        <v>2102560627</v>
      </c>
      <c r="F182" s="517">
        <f t="shared" si="52"/>
        <v>1117754521</v>
      </c>
      <c r="G182" s="517">
        <f t="shared" si="52"/>
        <v>206533068</v>
      </c>
      <c r="H182" s="517">
        <f t="shared" si="52"/>
        <v>911221453</v>
      </c>
      <c r="I182" s="517">
        <f t="shared" si="52"/>
        <v>11316869127</v>
      </c>
      <c r="J182" s="517">
        <f t="shared" si="52"/>
        <v>2180307333</v>
      </c>
      <c r="K182" s="609"/>
      <c r="L182" s="517">
        <f t="shared" si="52"/>
        <v>152251080</v>
      </c>
      <c r="M182" s="517">
        <f t="shared" si="52"/>
        <v>632000000</v>
      </c>
      <c r="N182" s="517">
        <f t="shared" si="52"/>
        <v>252800000</v>
      </c>
      <c r="O182" s="646"/>
      <c r="P182" s="495"/>
      <c r="Q182" s="495"/>
      <c r="R182" s="495"/>
      <c r="S182" s="495"/>
      <c r="T182" s="495"/>
    </row>
    <row r="183" spans="1:20" ht="12.75">
      <c r="A183" s="524"/>
      <c r="B183" s="527" t="s">
        <v>187</v>
      </c>
      <c r="C183" s="522"/>
      <c r="D183" s="522"/>
      <c r="E183" s="526"/>
      <c r="F183" s="523"/>
      <c r="G183" s="523"/>
      <c r="H183" s="523"/>
      <c r="I183" s="523">
        <v>6914257</v>
      </c>
      <c r="J183" s="523">
        <f>'Phụ lục 1'!E82*1000000</f>
        <v>21472800</v>
      </c>
      <c r="K183" s="610"/>
      <c r="L183" s="523"/>
      <c r="M183" s="523"/>
      <c r="N183" s="523"/>
      <c r="O183" s="535">
        <v>0.4</v>
      </c>
      <c r="P183" s="495"/>
      <c r="Q183" s="495"/>
      <c r="R183" s="495"/>
      <c r="S183" s="495"/>
      <c r="T183" s="495"/>
    </row>
    <row r="184" spans="1:20" ht="12.75">
      <c r="A184" s="524"/>
      <c r="B184" s="527" t="s">
        <v>188</v>
      </c>
      <c r="C184" s="522">
        <f>D184+E184</f>
        <v>134606169</v>
      </c>
      <c r="D184" s="522"/>
      <c r="E184" s="522">
        <v>134606169</v>
      </c>
      <c r="F184" s="523">
        <f>G184+H184</f>
        <v>172363503</v>
      </c>
      <c r="G184" s="523">
        <v>13072378</v>
      </c>
      <c r="H184" s="523">
        <v>159291125</v>
      </c>
      <c r="I184" s="523">
        <v>185003671</v>
      </c>
      <c r="J184" s="523">
        <v>35239611</v>
      </c>
      <c r="K184" s="610"/>
      <c r="L184" s="523">
        <f>'Phụ lục 1'!E83*1000000</f>
        <v>18874080</v>
      </c>
      <c r="M184" s="523">
        <v>0</v>
      </c>
      <c r="N184" s="523">
        <v>0</v>
      </c>
      <c r="O184" s="535">
        <v>0.4</v>
      </c>
      <c r="P184" s="495"/>
      <c r="Q184" s="495"/>
      <c r="R184" s="495"/>
      <c r="S184" s="495"/>
      <c r="T184" s="495"/>
    </row>
    <row r="185" spans="1:20" ht="24">
      <c r="A185" s="524"/>
      <c r="B185" s="527" t="s">
        <v>355</v>
      </c>
      <c r="C185" s="522">
        <f>D185+E185</f>
        <v>84842111</v>
      </c>
      <c r="D185" s="522">
        <v>18342413</v>
      </c>
      <c r="E185" s="526">
        <v>66499698</v>
      </c>
      <c r="F185" s="523">
        <f>G185+H185</f>
        <v>89548425</v>
      </c>
      <c r="G185" s="523">
        <v>23048727</v>
      </c>
      <c r="H185" s="523">
        <v>66499698</v>
      </c>
      <c r="I185" s="523">
        <v>587756095</v>
      </c>
      <c r="J185" s="523">
        <v>57621818</v>
      </c>
      <c r="K185" s="610"/>
      <c r="L185" s="523">
        <f>'Phụ lục 1'!E84*1000000</f>
        <v>23165400</v>
      </c>
      <c r="M185" s="523">
        <v>90000000</v>
      </c>
      <c r="N185" s="523">
        <f>M185*40%</f>
        <v>36000000</v>
      </c>
      <c r="O185" s="535">
        <v>0.1</v>
      </c>
      <c r="P185" s="495"/>
      <c r="Q185" s="495"/>
      <c r="R185" s="495"/>
      <c r="S185" s="495"/>
      <c r="T185" s="495"/>
    </row>
    <row r="186" spans="1:20" ht="24">
      <c r="A186" s="524"/>
      <c r="B186" s="527" t="s">
        <v>248</v>
      </c>
      <c r="C186" s="522">
        <f>D186+E186</f>
        <v>201866594</v>
      </c>
      <c r="D186" s="522">
        <v>143503328</v>
      </c>
      <c r="E186" s="526">
        <v>58363266</v>
      </c>
      <c r="F186" s="523">
        <f>G186+H186</f>
        <v>177949393</v>
      </c>
      <c r="G186" s="523">
        <v>148451963</v>
      </c>
      <c r="H186" s="523">
        <v>29497430</v>
      </c>
      <c r="I186" s="523">
        <v>7749240104</v>
      </c>
      <c r="J186" s="523">
        <v>371240104</v>
      </c>
      <c r="K186" s="610"/>
      <c r="L186" s="523">
        <f>'Phụ lục 1'!E85*1000000</f>
        <v>33189600</v>
      </c>
      <c r="M186" s="523">
        <v>442000000</v>
      </c>
      <c r="N186" s="523">
        <f>M186*40%</f>
        <v>176800000</v>
      </c>
      <c r="O186" s="535">
        <v>0.4</v>
      </c>
      <c r="P186" s="495"/>
      <c r="Q186" s="495"/>
      <c r="R186" s="495"/>
      <c r="S186" s="495"/>
      <c r="T186" s="495"/>
    </row>
    <row r="187" spans="1:20" ht="24">
      <c r="A187" s="524"/>
      <c r="B187" s="527" t="s">
        <v>231</v>
      </c>
      <c r="C187" s="522"/>
      <c r="D187" s="522"/>
      <c r="E187" s="526"/>
      <c r="F187" s="523">
        <f>G187+H187</f>
        <v>21960000</v>
      </c>
      <c r="G187" s="523">
        <v>21960000</v>
      </c>
      <c r="H187" s="523">
        <v>0</v>
      </c>
      <c r="I187" s="523">
        <v>54900000</v>
      </c>
      <c r="J187" s="523">
        <v>54900000</v>
      </c>
      <c r="K187" s="610"/>
      <c r="L187" s="523">
        <f>'Phụ lục 1'!E87*1000000</f>
        <v>22500600</v>
      </c>
      <c r="M187" s="523">
        <v>100000000</v>
      </c>
      <c r="N187" s="523">
        <f>M187*40%</f>
        <v>40000000</v>
      </c>
      <c r="O187" s="646"/>
      <c r="P187" s="495"/>
      <c r="Q187" s="495"/>
      <c r="R187" s="495"/>
      <c r="S187" s="495"/>
      <c r="T187" s="495"/>
    </row>
    <row r="188" spans="1:20" ht="12.75">
      <c r="A188" s="651"/>
      <c r="B188" s="599" t="s">
        <v>234</v>
      </c>
      <c r="C188" s="572">
        <f>D188+E188</f>
        <v>1843091494</v>
      </c>
      <c r="D188" s="572">
        <v>0</v>
      </c>
      <c r="E188" s="573">
        <v>1843091494</v>
      </c>
      <c r="F188" s="574">
        <f>G188+H188</f>
        <v>655933200</v>
      </c>
      <c r="G188" s="574"/>
      <c r="H188" s="574">
        <v>655933200</v>
      </c>
      <c r="I188" s="574">
        <v>2733055000</v>
      </c>
      <c r="J188" s="574">
        <v>1639833000</v>
      </c>
      <c r="K188" s="611"/>
      <c r="L188" s="574">
        <f>'Phụ lục 1'!E90*1000000</f>
        <v>54521399.99999999</v>
      </c>
      <c r="M188" s="574">
        <v>0</v>
      </c>
      <c r="N188" s="574">
        <v>0</v>
      </c>
      <c r="O188" s="666">
        <v>0</v>
      </c>
      <c r="P188" s="495"/>
      <c r="Q188" s="495"/>
      <c r="R188" s="495"/>
      <c r="S188" s="495"/>
      <c r="T188" s="495"/>
    </row>
    <row r="189" spans="1:20" s="575" customFormat="1" ht="24">
      <c r="A189" s="497" t="s">
        <v>38</v>
      </c>
      <c r="B189" s="498" t="s">
        <v>39</v>
      </c>
      <c r="C189" s="487">
        <f>C190+C191+C192+C193+C197+C198+C199+C203+C204</f>
        <v>22678551433</v>
      </c>
      <c r="D189" s="487">
        <f aca="true" t="shared" si="53" ref="D189:N189">D190+D191+D192+D193+D197+D198+D199+D203+D204</f>
        <v>1949772513</v>
      </c>
      <c r="E189" s="487">
        <f t="shared" si="53"/>
        <v>20728778920</v>
      </c>
      <c r="F189" s="487">
        <f t="shared" si="53"/>
        <v>15062932508</v>
      </c>
      <c r="G189" s="487">
        <f t="shared" si="53"/>
        <v>2645804807</v>
      </c>
      <c r="H189" s="487">
        <f t="shared" si="53"/>
        <v>12417127701</v>
      </c>
      <c r="I189" s="487">
        <f t="shared" si="53"/>
        <v>6359354606.13402</v>
      </c>
      <c r="J189" s="487">
        <f t="shared" si="53"/>
        <v>7004520112.891618</v>
      </c>
      <c r="K189" s="607"/>
      <c r="L189" s="487">
        <f t="shared" si="53"/>
        <v>1587954315.7</v>
      </c>
      <c r="M189" s="487">
        <f t="shared" si="53"/>
        <v>11429339000</v>
      </c>
      <c r="N189" s="487">
        <f t="shared" si="53"/>
        <v>4394935600</v>
      </c>
      <c r="O189" s="576"/>
      <c r="P189" s="577"/>
      <c r="Q189" s="577"/>
      <c r="R189" s="577"/>
      <c r="S189" s="577"/>
      <c r="T189" s="577"/>
    </row>
    <row r="190" spans="1:20" s="379" customFormat="1" ht="12.75">
      <c r="A190" s="625"/>
      <c r="B190" s="600" t="s">
        <v>122</v>
      </c>
      <c r="C190" s="565">
        <f>D190+E190</f>
        <v>1423991751</v>
      </c>
      <c r="D190" s="565">
        <v>67573540</v>
      </c>
      <c r="E190" s="601">
        <v>1356418211</v>
      </c>
      <c r="F190" s="602">
        <f>G190+H190</f>
        <v>1709946951</v>
      </c>
      <c r="G190" s="602">
        <v>353528740</v>
      </c>
      <c r="H190" s="602">
        <v>1356418211</v>
      </c>
      <c r="I190" s="602">
        <v>2382960000</v>
      </c>
      <c r="J190" s="602">
        <v>285955200</v>
      </c>
      <c r="K190" s="621"/>
      <c r="L190" s="602">
        <f>'Phụ lục 1'!E96*10^6</f>
        <v>206453999.99999997</v>
      </c>
      <c r="M190" s="602">
        <v>660000000</v>
      </c>
      <c r="N190" s="602">
        <f>M190*40%</f>
        <v>264000000</v>
      </c>
      <c r="O190" s="671">
        <v>0.2</v>
      </c>
      <c r="P190" s="461"/>
      <c r="Q190" s="461"/>
      <c r="R190" s="461"/>
      <c r="S190" s="461"/>
      <c r="T190" s="461"/>
    </row>
    <row r="191" spans="1:20" ht="12.75">
      <c r="A191" s="516"/>
      <c r="B191" s="547" t="s">
        <v>124</v>
      </c>
      <c r="C191" s="522"/>
      <c r="D191" s="522"/>
      <c r="E191" s="526"/>
      <c r="F191" s="523"/>
      <c r="G191" s="523"/>
      <c r="H191" s="523"/>
      <c r="I191" s="523"/>
      <c r="J191" s="523"/>
      <c r="K191" s="610"/>
      <c r="L191" s="523"/>
      <c r="M191" s="523"/>
      <c r="N191" s="523"/>
      <c r="O191" s="646"/>
      <c r="P191" s="495"/>
      <c r="Q191" s="495"/>
      <c r="R191" s="495"/>
      <c r="S191" s="495"/>
      <c r="T191" s="495"/>
    </row>
    <row r="192" spans="1:20" s="379" customFormat="1" ht="12.75">
      <c r="A192" s="516"/>
      <c r="B192" s="538" t="s">
        <v>528</v>
      </c>
      <c r="C192" s="517">
        <f>D192+E192</f>
        <v>424174140</v>
      </c>
      <c r="D192" s="517">
        <v>0</v>
      </c>
      <c r="E192" s="546">
        <v>424174140</v>
      </c>
      <c r="F192" s="499">
        <f>G192+H192</f>
        <v>227254884</v>
      </c>
      <c r="G192" s="499">
        <v>0</v>
      </c>
      <c r="H192" s="499">
        <v>227254884</v>
      </c>
      <c r="I192" s="499">
        <v>727014121</v>
      </c>
      <c r="J192" s="499"/>
      <c r="K192" s="612"/>
      <c r="L192" s="499">
        <f>'Phụ lục 1'!E100*1000000</f>
        <v>186837000</v>
      </c>
      <c r="M192" s="499">
        <v>417000000</v>
      </c>
      <c r="N192" s="499">
        <v>190000000</v>
      </c>
      <c r="O192" s="669"/>
      <c r="P192" s="461"/>
      <c r="Q192" s="461"/>
      <c r="R192" s="461"/>
      <c r="S192" s="461"/>
      <c r="T192" s="461"/>
    </row>
    <row r="193" spans="1:20" s="379" customFormat="1" ht="12.75">
      <c r="A193" s="516"/>
      <c r="B193" s="547" t="s">
        <v>126</v>
      </c>
      <c r="C193" s="517">
        <f>SUM(C194:C196)</f>
        <v>3623457317</v>
      </c>
      <c r="D193" s="517">
        <f aca="true" t="shared" si="54" ref="D193:N193">SUM(D194:D196)</f>
        <v>621747317</v>
      </c>
      <c r="E193" s="517">
        <f t="shared" si="54"/>
        <v>3001710000</v>
      </c>
      <c r="F193" s="517">
        <f t="shared" si="54"/>
        <v>2925473282</v>
      </c>
      <c r="G193" s="517">
        <f t="shared" si="54"/>
        <v>747043282</v>
      </c>
      <c r="H193" s="517">
        <f t="shared" si="54"/>
        <v>2178430000</v>
      </c>
      <c r="I193" s="517">
        <f t="shared" si="54"/>
        <v>8785.134020000001</v>
      </c>
      <c r="J193" s="517">
        <f t="shared" si="54"/>
        <v>1012.891618</v>
      </c>
      <c r="K193" s="609"/>
      <c r="L193" s="517">
        <f t="shared" si="54"/>
        <v>342141889.79999995</v>
      </c>
      <c r="M193" s="517">
        <f t="shared" si="54"/>
        <v>2975000000</v>
      </c>
      <c r="N193" s="517">
        <f t="shared" si="54"/>
        <v>1190000000</v>
      </c>
      <c r="O193" s="669"/>
      <c r="P193" s="461"/>
      <c r="Q193" s="461"/>
      <c r="R193" s="461"/>
      <c r="S193" s="461"/>
      <c r="T193" s="461"/>
    </row>
    <row r="194" spans="1:20" ht="12.75">
      <c r="A194" s="672" t="s">
        <v>588</v>
      </c>
      <c r="B194" s="548" t="s">
        <v>589</v>
      </c>
      <c r="C194" s="522">
        <f aca="true" t="shared" si="55" ref="C194:C204">D194+E194</f>
        <v>2800177317</v>
      </c>
      <c r="D194" s="549">
        <f>621.747317*1000000</f>
        <v>621747317</v>
      </c>
      <c r="E194" s="541">
        <f>2178.43*1000000</f>
        <v>2178430000</v>
      </c>
      <c r="F194" s="523">
        <f aca="true" t="shared" si="56" ref="F194:F204">G194+H194</f>
        <v>2759873282</v>
      </c>
      <c r="G194" s="541">
        <f>581.443282*1000000</f>
        <v>581443282</v>
      </c>
      <c r="H194" s="541">
        <f>2178.43*10^6</f>
        <v>2178430000</v>
      </c>
      <c r="I194" s="541">
        <f>2550124020/1000000</f>
        <v>2550.12402</v>
      </c>
      <c r="J194" s="542">
        <v>598.871618</v>
      </c>
      <c r="K194" s="620"/>
      <c r="L194" s="523">
        <f>'Phụ lục 1'!E103*1000000</f>
        <v>210362749.79999998</v>
      </c>
      <c r="M194" s="539">
        <f>2475*10^6</f>
        <v>2475000000</v>
      </c>
      <c r="N194" s="523">
        <f>M194*40%</f>
        <v>990000000</v>
      </c>
      <c r="O194" s="550">
        <v>0.2</v>
      </c>
      <c r="P194" s="495"/>
      <c r="Q194" s="495"/>
      <c r="R194" s="495"/>
      <c r="S194" s="495"/>
      <c r="T194" s="495"/>
    </row>
    <row r="195" spans="1:20" ht="12.75">
      <c r="A195" s="672" t="s">
        <v>588</v>
      </c>
      <c r="B195" s="551" t="s">
        <v>464</v>
      </c>
      <c r="C195" s="522">
        <f t="shared" si="55"/>
        <v>823280000</v>
      </c>
      <c r="D195" s="522">
        <v>0</v>
      </c>
      <c r="E195" s="552">
        <f>823.28*1000000</f>
        <v>823280000</v>
      </c>
      <c r="F195" s="523">
        <f t="shared" si="56"/>
        <v>165600000</v>
      </c>
      <c r="G195" s="553">
        <f>165.6*10^6</f>
        <v>165600000</v>
      </c>
      <c r="H195" s="554">
        <v>0</v>
      </c>
      <c r="I195" s="555">
        <v>6235.01</v>
      </c>
      <c r="J195" s="554">
        <v>414.02</v>
      </c>
      <c r="K195" s="622"/>
      <c r="L195" s="523">
        <f>'Phụ lục 1'!E104*1000000</f>
        <v>70518000</v>
      </c>
      <c r="M195" s="556">
        <f>500*10^6</f>
        <v>500000000</v>
      </c>
      <c r="N195" s="523">
        <f>M195*40%</f>
        <v>200000000</v>
      </c>
      <c r="O195" s="535">
        <v>0.2</v>
      </c>
      <c r="P195" s="495"/>
      <c r="Q195" s="495"/>
      <c r="R195" s="495"/>
      <c r="S195" s="495"/>
      <c r="T195" s="495"/>
    </row>
    <row r="196" spans="1:20" ht="12.75">
      <c r="A196" s="672" t="s">
        <v>588</v>
      </c>
      <c r="B196" s="551" t="s">
        <v>465</v>
      </c>
      <c r="C196" s="522">
        <f t="shared" si="55"/>
        <v>0</v>
      </c>
      <c r="D196" s="522">
        <v>0</v>
      </c>
      <c r="E196" s="557">
        <v>0</v>
      </c>
      <c r="F196" s="523">
        <f t="shared" si="56"/>
        <v>0</v>
      </c>
      <c r="G196" s="542">
        <v>0</v>
      </c>
      <c r="H196" s="554">
        <v>0</v>
      </c>
      <c r="I196" s="554">
        <v>0</v>
      </c>
      <c r="J196" s="554">
        <v>0</v>
      </c>
      <c r="K196" s="622"/>
      <c r="L196" s="523">
        <f>'Phụ lục 1'!E105*1000000</f>
        <v>61261140.000000015</v>
      </c>
      <c r="M196" s="556">
        <v>0</v>
      </c>
      <c r="N196" s="523">
        <f>M196*40%</f>
        <v>0</v>
      </c>
      <c r="O196" s="535"/>
      <c r="P196" s="495"/>
      <c r="Q196" s="495"/>
      <c r="R196" s="495"/>
      <c r="S196" s="495"/>
      <c r="T196" s="495"/>
    </row>
    <row r="197" spans="1:20" s="379" customFormat="1" ht="12.75">
      <c r="A197" s="516"/>
      <c r="B197" s="547" t="s">
        <v>127</v>
      </c>
      <c r="C197" s="517">
        <f t="shared" si="55"/>
        <v>1090856280</v>
      </c>
      <c r="D197" s="517">
        <v>997119640</v>
      </c>
      <c r="E197" s="546">
        <v>93736640</v>
      </c>
      <c r="F197" s="499">
        <f t="shared" si="56"/>
        <v>600023200</v>
      </c>
      <c r="G197" s="499">
        <v>111455400</v>
      </c>
      <c r="H197" s="499">
        <v>488567800</v>
      </c>
      <c r="I197" s="499">
        <f>'Phụ lục 1'!E108*10^6</f>
        <v>274417200</v>
      </c>
      <c r="J197" s="499">
        <v>1265716400</v>
      </c>
      <c r="K197" s="612"/>
      <c r="L197" s="499">
        <f>'Phụ lục 1'!E106*1000000</f>
        <v>110820000</v>
      </c>
      <c r="M197" s="499">
        <v>1300000000</v>
      </c>
      <c r="N197" s="499">
        <f>M197*40%</f>
        <v>520000000</v>
      </c>
      <c r="O197" s="673"/>
      <c r="P197" s="461"/>
      <c r="Q197" s="461"/>
      <c r="R197" s="461"/>
      <c r="S197" s="461"/>
      <c r="T197" s="461"/>
    </row>
    <row r="198" spans="1:20" s="379" customFormat="1" ht="12.75">
      <c r="A198" s="516"/>
      <c r="B198" s="547" t="s">
        <v>128</v>
      </c>
      <c r="C198" s="517">
        <f t="shared" si="55"/>
        <v>2016000000</v>
      </c>
      <c r="D198" s="517">
        <v>0</v>
      </c>
      <c r="E198" s="546">
        <v>2016000000</v>
      </c>
      <c r="F198" s="499">
        <f t="shared" si="56"/>
        <v>867000000</v>
      </c>
      <c r="G198" s="499">
        <v>298000000</v>
      </c>
      <c r="H198" s="499">
        <v>569000000</v>
      </c>
      <c r="I198" s="499">
        <v>2566000000</v>
      </c>
      <c r="J198" s="499">
        <v>2169000000</v>
      </c>
      <c r="K198" s="612"/>
      <c r="L198" s="499">
        <f>'Phụ lục 1'!E107*10^6</f>
        <v>211848000</v>
      </c>
      <c r="M198" s="499">
        <v>1250000000</v>
      </c>
      <c r="N198" s="499">
        <f>M198*40%</f>
        <v>500000000</v>
      </c>
      <c r="O198" s="673"/>
      <c r="P198" s="461"/>
      <c r="Q198" s="461"/>
      <c r="R198" s="461"/>
      <c r="S198" s="461"/>
      <c r="T198" s="461"/>
    </row>
    <row r="199" spans="1:20" s="379" customFormat="1" ht="12.75">
      <c r="A199" s="516"/>
      <c r="B199" s="547" t="s">
        <v>129</v>
      </c>
      <c r="C199" s="517">
        <f>SUM(C200:C202)</f>
        <v>6696165445</v>
      </c>
      <c r="D199" s="517">
        <f aca="true" t="shared" si="57" ref="D199:N199">SUM(D200:D202)</f>
        <v>263332016</v>
      </c>
      <c r="E199" s="517">
        <f t="shared" si="57"/>
        <v>6432833429</v>
      </c>
      <c r="F199" s="517">
        <f t="shared" si="57"/>
        <v>7711779691</v>
      </c>
      <c r="G199" s="517">
        <f t="shared" si="57"/>
        <v>835777385</v>
      </c>
      <c r="H199" s="517">
        <f t="shared" si="57"/>
        <v>6876002306</v>
      </c>
      <c r="I199" s="517">
        <f t="shared" si="57"/>
        <v>0</v>
      </c>
      <c r="J199" s="517">
        <f t="shared" si="57"/>
        <v>0</v>
      </c>
      <c r="K199" s="609"/>
      <c r="L199" s="517">
        <f t="shared" si="57"/>
        <v>274060000</v>
      </c>
      <c r="M199" s="517">
        <f t="shared" si="57"/>
        <v>2673000000</v>
      </c>
      <c r="N199" s="517">
        <f t="shared" si="57"/>
        <v>1069200000</v>
      </c>
      <c r="O199" s="670">
        <v>0.4</v>
      </c>
      <c r="P199" s="461"/>
      <c r="Q199" s="461"/>
      <c r="R199" s="461"/>
      <c r="S199" s="461"/>
      <c r="T199" s="461"/>
    </row>
    <row r="200" spans="1:20" s="379" customFormat="1" ht="12.75">
      <c r="A200" s="674" t="s">
        <v>588</v>
      </c>
      <c r="B200" s="558" t="s">
        <v>530</v>
      </c>
      <c r="C200" s="522">
        <f>D200+E200</f>
        <v>5930886204</v>
      </c>
      <c r="D200" s="559">
        <v>173012221</v>
      </c>
      <c r="E200" s="559">
        <v>5757873983</v>
      </c>
      <c r="F200" s="523">
        <f>G200+H200</f>
        <v>6662205604</v>
      </c>
      <c r="G200" s="559">
        <v>753602179</v>
      </c>
      <c r="H200" s="559">
        <v>5908603425</v>
      </c>
      <c r="I200" s="532"/>
      <c r="J200" s="533"/>
      <c r="K200" s="623"/>
      <c r="L200" s="533">
        <v>170620000</v>
      </c>
      <c r="M200" s="533">
        <v>2250000000</v>
      </c>
      <c r="N200" s="523">
        <f>M200*O200</f>
        <v>900000000</v>
      </c>
      <c r="O200" s="535">
        <v>0.4</v>
      </c>
      <c r="P200" s="461"/>
      <c r="Q200" s="461"/>
      <c r="R200" s="461"/>
      <c r="S200" s="461"/>
      <c r="T200" s="461"/>
    </row>
    <row r="201" spans="1:20" s="379" customFormat="1" ht="12.75">
      <c r="A201" s="674" t="s">
        <v>588</v>
      </c>
      <c r="B201" s="558" t="s">
        <v>531</v>
      </c>
      <c r="C201" s="522">
        <f>D201+E201</f>
        <v>765279241</v>
      </c>
      <c r="D201" s="559">
        <v>90319795</v>
      </c>
      <c r="E201" s="559">
        <v>674959446</v>
      </c>
      <c r="F201" s="523">
        <f>G201+H201</f>
        <v>1049574087</v>
      </c>
      <c r="G201" s="559">
        <v>82175206</v>
      </c>
      <c r="H201" s="559">
        <v>967398881</v>
      </c>
      <c r="I201" s="499"/>
      <c r="J201" s="499"/>
      <c r="K201" s="612"/>
      <c r="L201" s="532">
        <v>55650000</v>
      </c>
      <c r="M201" s="533">
        <v>423000000</v>
      </c>
      <c r="N201" s="523">
        <f>M201*O201</f>
        <v>169200000</v>
      </c>
      <c r="O201" s="626">
        <v>0.4</v>
      </c>
      <c r="P201" s="461"/>
      <c r="Q201" s="461"/>
      <c r="R201" s="461"/>
      <c r="S201" s="461"/>
      <c r="T201" s="461"/>
    </row>
    <row r="202" spans="1:20" s="379" customFormat="1" ht="12.75">
      <c r="A202" s="674" t="s">
        <v>588</v>
      </c>
      <c r="B202" s="558" t="s">
        <v>532</v>
      </c>
      <c r="C202" s="522">
        <f>D202+E202</f>
        <v>0</v>
      </c>
      <c r="D202" s="559"/>
      <c r="E202" s="559"/>
      <c r="F202" s="523">
        <f>G202+H202</f>
        <v>0</v>
      </c>
      <c r="G202" s="499"/>
      <c r="H202" s="499"/>
      <c r="I202" s="499"/>
      <c r="J202" s="499"/>
      <c r="K202" s="612"/>
      <c r="L202" s="532">
        <v>47790000</v>
      </c>
      <c r="M202" s="533"/>
      <c r="N202" s="533"/>
      <c r="O202" s="626" t="s">
        <v>533</v>
      </c>
      <c r="P202" s="461"/>
      <c r="Q202" s="461"/>
      <c r="R202" s="461"/>
      <c r="S202" s="461"/>
      <c r="T202" s="461"/>
    </row>
    <row r="203" spans="1:20" s="379" customFormat="1" ht="12.75">
      <c r="A203" s="516"/>
      <c r="B203" s="547" t="s">
        <v>134</v>
      </c>
      <c r="C203" s="517">
        <f t="shared" si="55"/>
        <v>67115500</v>
      </c>
      <c r="D203" s="560"/>
      <c r="E203" s="560">
        <f>36944500+30171000</f>
        <v>67115500</v>
      </c>
      <c r="F203" s="499">
        <f t="shared" si="56"/>
        <v>221454500</v>
      </c>
      <c r="G203" s="499"/>
      <c r="H203" s="499">
        <f>E203+154339000</f>
        <v>221454500</v>
      </c>
      <c r="I203" s="499">
        <v>385847500</v>
      </c>
      <c r="J203" s="499">
        <f>I203</f>
        <v>385847500</v>
      </c>
      <c r="K203" s="612"/>
      <c r="L203" s="499">
        <f>'Phụ lục 1'!E123*10^6</f>
        <v>116037825.89999999</v>
      </c>
      <c r="M203" s="499">
        <f>J203*40%</f>
        <v>154339000</v>
      </c>
      <c r="N203" s="499">
        <f>M203*40%</f>
        <v>61735600</v>
      </c>
      <c r="O203" s="670">
        <v>0.4</v>
      </c>
      <c r="P203" s="461"/>
      <c r="Q203" s="461"/>
      <c r="R203" s="461"/>
      <c r="S203" s="461"/>
      <c r="T203" s="461"/>
    </row>
    <row r="204" spans="1:20" s="379" customFormat="1" ht="12.75">
      <c r="A204" s="516"/>
      <c r="B204" s="547" t="s">
        <v>229</v>
      </c>
      <c r="C204" s="517">
        <f t="shared" si="55"/>
        <v>7336791000</v>
      </c>
      <c r="D204" s="517">
        <v>0</v>
      </c>
      <c r="E204" s="546">
        <v>7336791000</v>
      </c>
      <c r="F204" s="499">
        <f t="shared" si="56"/>
        <v>800000000</v>
      </c>
      <c r="G204" s="499">
        <v>300000000</v>
      </c>
      <c r="H204" s="499">
        <v>500000000</v>
      </c>
      <c r="I204" s="499">
        <v>23107000</v>
      </c>
      <c r="J204" s="499">
        <v>2898000000</v>
      </c>
      <c r="K204" s="612"/>
      <c r="L204" s="499">
        <f>'Phụ lục 1'!E128*1000000</f>
        <v>139755600</v>
      </c>
      <c r="M204" s="499">
        <v>2000000000</v>
      </c>
      <c r="N204" s="499">
        <v>600000000</v>
      </c>
      <c r="O204" s="670">
        <v>0.2</v>
      </c>
      <c r="P204" s="461"/>
      <c r="Q204" s="461"/>
      <c r="R204" s="461"/>
      <c r="S204" s="461"/>
      <c r="T204" s="461"/>
    </row>
    <row r="205" spans="1:20" ht="12.75">
      <c r="A205" s="561"/>
      <c r="B205" s="562"/>
      <c r="C205" s="562"/>
      <c r="D205" s="562"/>
      <c r="E205" s="563"/>
      <c r="F205" s="564"/>
      <c r="G205" s="564">
        <v>0</v>
      </c>
      <c r="H205" s="564">
        <v>0</v>
      </c>
      <c r="I205" s="564"/>
      <c r="J205" s="564"/>
      <c r="K205" s="624"/>
      <c r="L205" s="564">
        <v>0</v>
      </c>
      <c r="M205" s="675"/>
      <c r="N205" s="675"/>
      <c r="O205" s="676"/>
      <c r="P205" s="495"/>
      <c r="Q205" s="495"/>
      <c r="R205" s="495"/>
      <c r="S205" s="495"/>
      <c r="T205" s="495"/>
    </row>
    <row r="207" spans="1:5" ht="12.75">
      <c r="A207" s="501"/>
      <c r="B207" s="486"/>
      <c r="C207" s="486"/>
      <c r="D207" s="486"/>
      <c r="E207" s="514"/>
    </row>
    <row r="208" spans="1:15" ht="25.5" customHeight="1">
      <c r="A208" s="486"/>
      <c r="B208" s="737"/>
      <c r="C208" s="737"/>
      <c r="D208" s="737"/>
      <c r="E208" s="737"/>
      <c r="F208" s="737"/>
      <c r="G208" s="737"/>
      <c r="H208" s="737"/>
      <c r="I208" s="737"/>
      <c r="J208" s="737"/>
      <c r="K208" s="737"/>
      <c r="L208" s="737"/>
      <c r="M208" s="737"/>
      <c r="N208" s="737"/>
      <c r="O208" s="737"/>
    </row>
    <row r="209" spans="1:15" ht="25.5" customHeight="1">
      <c r="A209" s="486"/>
      <c r="B209" s="737"/>
      <c r="C209" s="737"/>
      <c r="D209" s="737"/>
      <c r="E209" s="737"/>
      <c r="F209" s="737"/>
      <c r="G209" s="737"/>
      <c r="H209" s="737"/>
      <c r="I209" s="737"/>
      <c r="J209" s="737"/>
      <c r="K209" s="737"/>
      <c r="L209" s="737"/>
      <c r="M209" s="737"/>
      <c r="N209" s="737"/>
      <c r="O209" s="737"/>
    </row>
    <row r="210" spans="1:15" ht="25.5" customHeight="1">
      <c r="A210" s="486"/>
      <c r="B210" s="737"/>
      <c r="C210" s="737"/>
      <c r="D210" s="737"/>
      <c r="E210" s="737"/>
      <c r="F210" s="737"/>
      <c r="G210" s="737"/>
      <c r="H210" s="737"/>
      <c r="I210" s="737"/>
      <c r="J210" s="737"/>
      <c r="K210" s="737"/>
      <c r="L210" s="737"/>
      <c r="M210" s="737"/>
      <c r="N210" s="737"/>
      <c r="O210" s="737"/>
    </row>
    <row r="211" spans="1:15" ht="25.5" customHeight="1">
      <c r="A211" s="486"/>
      <c r="B211" s="737"/>
      <c r="C211" s="737"/>
      <c r="D211" s="737"/>
      <c r="E211" s="737"/>
      <c r="F211" s="737"/>
      <c r="G211" s="737"/>
      <c r="H211" s="737"/>
      <c r="I211" s="737"/>
      <c r="J211" s="737"/>
      <c r="K211" s="737"/>
      <c r="L211" s="737"/>
      <c r="M211" s="737"/>
      <c r="N211" s="737"/>
      <c r="O211" s="737"/>
    </row>
    <row r="212" spans="1:15" ht="25.5" customHeight="1">
      <c r="A212" s="486"/>
      <c r="B212" s="737"/>
      <c r="C212" s="737"/>
      <c r="D212" s="737"/>
      <c r="E212" s="737"/>
      <c r="F212" s="737"/>
      <c r="G212" s="737"/>
      <c r="H212" s="737"/>
      <c r="I212" s="737"/>
      <c r="J212" s="737"/>
      <c r="K212" s="737"/>
      <c r="L212" s="737"/>
      <c r="M212" s="737"/>
      <c r="N212" s="737"/>
      <c r="O212" s="737"/>
    </row>
    <row r="213" spans="1:5" ht="12.75">
      <c r="A213" s="486"/>
      <c r="B213" s="490"/>
      <c r="C213" s="490"/>
      <c r="D213" s="490"/>
      <c r="E213" s="515"/>
    </row>
    <row r="214" spans="1:5" ht="12.75">
      <c r="A214" s="486"/>
      <c r="B214" s="490"/>
      <c r="C214" s="490"/>
      <c r="D214" s="490"/>
      <c r="E214" s="515"/>
    </row>
  </sheetData>
  <sheetProtection/>
  <mergeCells count="13">
    <mergeCell ref="C5:E5"/>
    <mergeCell ref="K5:O5"/>
    <mergeCell ref="F5:J5"/>
    <mergeCell ref="B208:O208"/>
    <mergeCell ref="B209:O209"/>
    <mergeCell ref="B210:O210"/>
    <mergeCell ref="B211:O211"/>
    <mergeCell ref="B212:O212"/>
    <mergeCell ref="A2:O2"/>
    <mergeCell ref="A3:O3"/>
    <mergeCell ref="N4:O4"/>
    <mergeCell ref="A5:A6"/>
    <mergeCell ref="B5:B6"/>
  </mergeCells>
  <printOptions/>
  <pageMargins left="0.5" right="0" top="0.5" bottom="0.5" header="0.3" footer="0.3"/>
  <pageSetup fitToHeight="0" fitToWidth="0" horizontalDpi="600" verticalDpi="600" orientation="landscape" paperSize="9" scale="80" r:id="rId3"/>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Rà soát số liệu nguồn CCTL</dc:title>
  <dc:subject/>
  <dc:creator>HoLeTrung</dc:creator>
  <cp:keywords/>
  <dc:description/>
  <cp:lastModifiedBy>nguyenthimynga</cp:lastModifiedBy>
  <cp:lastPrinted>2018-05-10T06:50:28Z</cp:lastPrinted>
  <dcterms:created xsi:type="dcterms:W3CDTF">2016-07-13T08:29:39Z</dcterms:created>
  <dcterms:modified xsi:type="dcterms:W3CDTF">2018-05-11T11:15:06Z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QY5UZ4ZQWDMN-2102554853-469</vt:lpwstr>
  </property>
  <property fmtid="{D5CDD505-2E9C-101B-9397-08002B2CF9AE}" pid="4" name="_dlc_DocIdItemGu">
    <vt:lpwstr>91f2564d-7a2a-408a-85f2-d10091fe01f3</vt:lpwstr>
  </property>
  <property fmtid="{D5CDD505-2E9C-101B-9397-08002B2CF9AE}" pid="5" name="_dlc_DocIdU">
    <vt:lpwstr>http://10.174.253.232:8814/_layouts/15/DocIdRedir.aspx?ID=QY5UZ4ZQWDMN-2102554853-469, QY5UZ4ZQWDMN-2102554853-469</vt:lpwstr>
  </property>
</Properties>
</file>